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U:\CEGID TAX ULTIMATE\PROJET\3- Réalisation\PLAQUETTES\"/>
    </mc:Choice>
  </mc:AlternateContent>
  <xr:revisionPtr revIDLastSave="0" documentId="13_ncr:1_{0B3633C9-4D6D-4DEA-8D23-F8F9816EA6EB}" xr6:coauthVersionLast="47" xr6:coauthVersionMax="47" xr10:uidLastSave="{00000000-0000-0000-0000-000000000000}"/>
  <bookViews>
    <workbookView xWindow="-28920" yWindow="-120" windowWidth="29040" windowHeight="17640" xr2:uid="{00000000-000D-0000-FFFF-FFFF00000000}"/>
  </bookViews>
  <sheets>
    <sheet name="Page de garde" sheetId="9" r:id="rId1"/>
    <sheet name="Sommaire" sheetId="24" r:id="rId2"/>
    <sheet name="Bilan-Actif" sheetId="16" r:id="rId3"/>
    <sheet name="Bilan-Passif" sheetId="8" r:id="rId4"/>
    <sheet name="Compte de résultat" sheetId="10" r:id="rId5"/>
    <sheet name="TAB. FI.PREPARATION" sheetId="23" r:id="rId6"/>
  </sheets>
  <externalReferences>
    <externalReference r:id="rId7"/>
    <externalReference r:id="rId8"/>
    <externalReference r:id="rId9"/>
    <externalReference r:id="rId10"/>
    <externalReference r:id="rId11"/>
  </externalReferences>
  <definedNames>
    <definedName name="_xlnm._FilterDatabase" localSheetId="2">'Bilan-Actif'!$B$113:$H$130</definedName>
    <definedName name="_xlnm._FilterDatabase" localSheetId="3">'Bilan-Passif'!$C$110:$H$129</definedName>
    <definedName name="BCN_TAUXCHGE">'[1]Cours de change'!$G$44:$O$199</definedName>
    <definedName name="CONCBANQ0">'[2]Bilan - Passif'!$H$46</definedName>
    <definedName name="CONCBANQ1">'[2]Bilan - Passif'!$I$46</definedName>
    <definedName name="CURRGB">'[1]Cours de change'!$C$44:$E$72</definedName>
    <definedName name="dateprev">'[3]CR prévisionnel'!$G$6</definedName>
    <definedName name="DEBUT">'[4]R &amp; M'!$M$16</definedName>
    <definedName name="PLAQ_TOC" localSheetId="1">Sommaire!$A$6:$I$11</definedName>
    <definedName name="PLAQ_TOC">Sommaire!$A$6:$I$6</definedName>
    <definedName name="RESEXCP0">'Compte de résultat'!$G$83</definedName>
    <definedName name="TOP_MILLION">'Page de garde'!$K$5</definedName>
    <definedName name="UNITE">'[5]BILAN 1 PAGE'!$K$3</definedName>
    <definedName name="UNITELIB">'[5]BILAN 1 PAGE'!$G$3</definedName>
    <definedName name="Z_0191EF76_2510_49D3_95E0_C0C4981AA66C_.wvu.PrintArea" localSheetId="0">'Page de garde'!$A$4:$H$32</definedName>
    <definedName name="Z_0B0634B6_74EF_4F75_9FF5_9053C86842F8_.wvu.PrintArea" localSheetId="0">'Page de garde'!$A$4:$H$32</definedName>
    <definedName name="Z_15683789_9227_47D9_8529_8939C6F76F6E_.wvu.Cols" localSheetId="0">'Page de garde'!$A:$A</definedName>
    <definedName name="Z_15683789_9227_47D9_8529_8939C6F76F6E_.wvu.PrintArea" localSheetId="0">'Page de garde'!$A$4:$H$32</definedName>
    <definedName name="Z_2B3CD2F3_81AF_4633_B060_97645219FB90_.wvu.PrintArea" localSheetId="0">'Page de garde'!$A$4:$H$32</definedName>
    <definedName name="Z_3B06EE10_2DAB_4987_8B2C_C7A02B009259_.wvu.PrintArea" localSheetId="0">'Page de garde'!$A$4:$H$32</definedName>
    <definedName name="Z_3CF2B91C_4460_4D92_B5AE_EC115AA88BBA_.wvu.PrintArea" localSheetId="0">'Page de garde'!$A$4:$H$32</definedName>
    <definedName name="Z_3D87E993_04A7_4481_B694_4C968B1D121D_.wvu.PrintArea" localSheetId="0">'Page de garde'!$A$4:$H$32</definedName>
    <definedName name="Z_42A6DCBD_FC0A_48B0_B273_1C4AF8B25BCB_.wvu.PrintArea" localSheetId="0">'Page de garde'!$A$4:$H$32</definedName>
    <definedName name="Z_43461A65_B833_43AA_AA6B_F8248BC1C33A_.wvu.PrintArea" localSheetId="0">'Page de garde'!$A$4:$H$32</definedName>
    <definedName name="Z_44322556_9F23_447D_B20E_881E31420252_.wvu.PrintArea" localSheetId="0">'Page de garde'!$A$4:$H$32</definedName>
    <definedName name="Z_480A1F6F_8690_4B8A_9ADB_B479BE9D822D_.wvu.PrintArea" localSheetId="0">'Page de garde'!$A$4:$H$32</definedName>
    <definedName name="Z_5D4DB0EB_8A29_4557_AD5E_2E06A3AEDAE4_.wvu.PrintArea" localSheetId="0">'Page de garde'!$A$4:$H$32</definedName>
    <definedName name="Z_62480D39_0C2E_4F83_8250_CC96093E4B7E_.wvu.PrintArea" localSheetId="0">'Page de garde'!$A$4:$H$32</definedName>
    <definedName name="Z_6265DCE2_EC25_4402_AD1E_01379A9C3EBD_.wvu.PrintArea" localSheetId="0">'Page de garde'!$A$4:$H$32</definedName>
    <definedName name="Z_640CABD1_B9C0_42B2_AA20_435E084839BE_.wvu.Cols" localSheetId="0">'Page de garde'!$A:$A</definedName>
    <definedName name="Z_640CABD1_B9C0_42B2_AA20_435E084839BE_.wvu.PrintArea" localSheetId="0">'Page de garde'!$A$4:$H$32</definedName>
    <definedName name="Z_69131410_809A_4F24_87D8_7571714B0248_.wvu.PrintArea" localSheetId="0">'Page de garde'!$A$4:$H$32</definedName>
    <definedName name="Z_6DDA41D2_D2B8_4FC8_AB27_98244AB20722_.wvu.PrintArea" localSheetId="0">'Page de garde'!$A$4:$H$32</definedName>
    <definedName name="Z_73063C07_CA32_4418_9603_EA82F65E3847_.wvu.PrintArea" localSheetId="0">'Page de garde'!$A$4:$H$32</definedName>
    <definedName name="Z_82D7D028_1430_42F2_A05E_616ACB573367_.wvu.PrintArea" localSheetId="0">'Page de garde'!$A$4:$H$32</definedName>
    <definedName name="Z_90D21A03_2AE2_4031_B3E5_CC9A9756E38B_.wvu.Cols" localSheetId="0">'Page de garde'!$A:$A</definedName>
    <definedName name="Z_90D21A03_2AE2_4031_B3E5_CC9A9756E38B_.wvu.PrintArea" localSheetId="0">'Page de garde'!$A$4:$H$32</definedName>
    <definedName name="Z_975562A6_2954_4280_AFE7_95AA1C102A37_.wvu.Cols" localSheetId="0">'Page de garde'!$A:$A</definedName>
    <definedName name="Z_975562A6_2954_4280_AFE7_95AA1C102A37_.wvu.PrintArea" localSheetId="0">'Page de garde'!$A$4:$H$32</definedName>
    <definedName name="Z_99A3EFD7_21AA_4F72_B5B6_B96B76C95A3D_.wvu.PrintArea" localSheetId="0">'Page de garde'!$A$4:$H$32</definedName>
    <definedName name="Z_B0F27F0F_A609_4B09_B47D_03C3A1660EEB_.wvu.PrintArea" localSheetId="0">'Page de garde'!$A$4:$H$32</definedName>
    <definedName name="Z_B2459E3C_45DB_4C0A_9F58_CC03880ED7DC_.wvu.PrintArea" localSheetId="0">'Page de garde'!$A$4:$H$32</definedName>
    <definedName name="Z_B2CD87BD_2272_4AF4_8DBC_1E5A8D1E7DE4_.wvu.Cols" localSheetId="0">'Page de garde'!$A:$A</definedName>
    <definedName name="Z_B2CD87BD_2272_4AF4_8DBC_1E5A8D1E7DE4_.wvu.PrintArea" localSheetId="0">'Page de garde'!$A$4:$H$32</definedName>
    <definedName name="Z_B5B73EBE_7F4D_49FA_9512_48065E10573F_.wvu.Cols" localSheetId="0">'Page de garde'!$A:$A</definedName>
    <definedName name="Z_B5B73EBE_7F4D_49FA_9512_48065E10573F_.wvu.PrintArea" localSheetId="0">'Page de garde'!$A$4:$H$32</definedName>
    <definedName name="Z_B68A0F17_5C81_437C_BC8D_8F672130082C_.wvu.Cols" localSheetId="0">'Page de garde'!$A:$A</definedName>
    <definedName name="Z_B68A0F17_5C81_437C_BC8D_8F672130082C_.wvu.PrintArea" localSheetId="0">'Page de garde'!$A$4:$H$32</definedName>
    <definedName name="Z_BA83C2C2_654B_4639_8920_2FF5B1D3A987_.wvu.Cols" localSheetId="0">'Page de garde'!$A:$A</definedName>
    <definedName name="Z_BA83C2C2_654B_4639_8920_2FF5B1D3A987_.wvu.PrintArea" localSheetId="0">'Page de garde'!$A$4:$H$32</definedName>
    <definedName name="Z_BD0E8B8F_3141_4536_891F_837B5C75110E_.wvu.Cols" localSheetId="0">'Page de garde'!$A:$A</definedName>
    <definedName name="Z_BD0E8B8F_3141_4536_891F_837B5C75110E_.wvu.PrintArea" localSheetId="0">'Page de garde'!$A$4:$H$32</definedName>
    <definedName name="Z_C551BC6B_530E_4E26_94E1_1B87DB169CB1_.wvu.PrintArea" localSheetId="0">'Page de garde'!$A$4:$H$32</definedName>
    <definedName name="Z_C85A6159_2E87_4549_8ED9_E379A5987969_.wvu.PrintArea" localSheetId="0">'Page de garde'!$A$4:$H$32</definedName>
    <definedName name="Z_C8EF3664_CE13_4BE4_8615_C0848769AEB3_.wvu.PrintArea" localSheetId="0">'Page de garde'!$A$4:$H$32</definedName>
    <definedName name="Z_C9A63A22_8744_4A6F_BD87_EA189F4F06F9_.wvu.PrintArea" localSheetId="0">'Page de garde'!$A$4:$H$32</definedName>
    <definedName name="Z_CF686290_1697_48E3_97FE_77B50E26715D_.wvu.PrintArea" localSheetId="0">'Page de garde'!$A$4:$H$32</definedName>
    <definedName name="Z_D505EE29_30D4_4A37_A60B_AFE7297BA833_.wvu.Cols" localSheetId="0">'Page de garde'!$A:$A</definedName>
    <definedName name="Z_D505EE29_30D4_4A37_A60B_AFE7297BA833_.wvu.PrintArea" localSheetId="0">'Page de garde'!$A$4:$H$32</definedName>
    <definedName name="Z_E511A166_5DEB_47C3_8F03_DE291A58FC79_.wvu.PrintArea" localSheetId="0">'Page de garde'!$A$4:$H$32</definedName>
    <definedName name="Z_EC9BFD6C_B61F_4513_A946_F20B9CFBDE92_.wvu.PrintArea" localSheetId="0">'Page de garde'!$A$4:$H$32</definedName>
    <definedName name="Z_F448D367_83F1_4479_BE06_489F913325B1_.wvu.Cols" localSheetId="0">'Page de garde'!$A:$A</definedName>
    <definedName name="Z_F448D367_83F1_4479_BE06_489F913325B1_.wvu.PrintArea" localSheetId="0">'Page de garde'!$A$4:$H$32</definedName>
    <definedName name="Z_FD054DAF_EF2D_4FB2_B58A_184AE40F6300_.wvu.PrintArea" localSheetId="0">'Page de garde'!$A$4:$H$32</definedName>
    <definedName name="Z_FEDF290D_12FD_40D7_A0FB_BC676BDF18F9_.wvu.Cols" localSheetId="0">'Page de garde'!$A:$A</definedName>
    <definedName name="Z_FEDF290D_12FD_40D7_A0FB_BC676BDF18F9_.wvu.PrintArea" localSheetId="0">'Page de garde'!$A$4:$H$32</definedName>
    <definedName name="_xlnm.Print_Area" localSheetId="2">'Bilan-Actif'!$A$1:$E$58</definedName>
    <definedName name="_xlnm.Print_Area" localSheetId="3">'Bilan-Passif'!$A$1:$E$53</definedName>
    <definedName name="_xlnm.Print_Area" localSheetId="4">'Compte de résultat'!$A$1:$E$94</definedName>
    <definedName name="_xlnm.Print_Area" localSheetId="0">'Page de garde'!$A$4:$H$32</definedName>
    <definedName name="Zone_impres_MI">'[3]CR prévisionnel'!$B$6:$D$52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0" l="1"/>
  <c r="F52" i="10" s="1"/>
  <c r="E7" i="10"/>
  <c r="E52" i="10" s="1"/>
  <c r="D7" i="10"/>
  <c r="D52" i="10" s="1"/>
  <c r="A2" i="10" a="1"/>
  <c r="A2" i="10" s="1"/>
  <c r="E7" i="8" a="1"/>
  <c r="E7" i="8" s="1"/>
  <c r="D7" i="8" a="1"/>
  <c r="D7" i="8" s="1"/>
  <c r="A2" i="8" a="1"/>
  <c r="A2" i="8" s="1"/>
  <c r="E8" i="16"/>
  <c r="D8" i="16"/>
  <c r="A6" i="16" a="1"/>
  <c r="A6" i="16" s="1"/>
  <c r="A10" i="24"/>
  <c r="A9" i="24"/>
  <c r="A7" i="24"/>
  <c r="A27" i="9"/>
  <c r="A18" i="9" a="1"/>
  <c r="A18" i="9" s="1"/>
  <c r="I5" i="23"/>
  <c r="E5" i="23"/>
  <c r="D65" i="23"/>
  <c r="F65" i="23" s="1"/>
  <c r="D55" i="23"/>
  <c r="F55" i="23" s="1"/>
  <c r="D69" i="23"/>
  <c r="F69" i="23" s="1"/>
  <c r="D68" i="23"/>
  <c r="F68" i="23" s="1"/>
  <c r="D67" i="23"/>
  <c r="F67" i="23" s="1"/>
  <c r="D66" i="23"/>
  <c r="F66" i="23" s="1"/>
  <c r="D64" i="23"/>
  <c r="F64" i="23" s="1"/>
  <c r="F72" i="23" s="1"/>
  <c r="D59" i="23"/>
  <c r="F59" i="23" s="1"/>
  <c r="D58" i="23"/>
  <c r="F58" i="23" s="1"/>
  <c r="D57" i="23"/>
  <c r="F57" i="23" s="1"/>
  <c r="D56" i="23"/>
  <c r="F56" i="23" s="1"/>
  <c r="D54" i="23"/>
  <c r="D62" i="23" s="1"/>
  <c r="D5" i="23"/>
  <c r="D202" i="23"/>
  <c r="D201" i="23"/>
  <c r="D200" i="23"/>
  <c r="F189" i="23"/>
  <c r="D179" i="23"/>
  <c r="D182" i="23" s="1"/>
  <c r="D168" i="23"/>
  <c r="D167" i="23"/>
  <c r="F167" i="23" s="1"/>
  <c r="D165" i="23"/>
  <c r="D170" i="23" s="1"/>
  <c r="D156" i="23"/>
  <c r="D154" i="23"/>
  <c r="D152" i="23"/>
  <c r="D159" i="23" s="1"/>
  <c r="D146" i="23"/>
  <c r="D140" i="23"/>
  <c r="F140" i="23" s="1"/>
  <c r="F143" i="23" s="1"/>
  <c r="D134" i="23"/>
  <c r="D137" i="23" s="1"/>
  <c r="D131" i="23"/>
  <c r="F131" i="23" s="1"/>
  <c r="D125" i="23"/>
  <c r="F125" i="23" s="1"/>
  <c r="D124" i="23"/>
  <c r="D128" i="23" s="1"/>
  <c r="D112" i="23"/>
  <c r="D111" i="23"/>
  <c r="D101" i="23"/>
  <c r="D99" i="23"/>
  <c r="D98" i="23"/>
  <c r="D97" i="23"/>
  <c r="D96" i="23"/>
  <c r="D104" i="23" s="1"/>
  <c r="D90" i="23"/>
  <c r="D88" i="23"/>
  <c r="D87" i="23"/>
  <c r="D86" i="23"/>
  <c r="D93" i="23" s="1"/>
  <c r="D80" i="23"/>
  <c r="D83" i="23" s="1"/>
  <c r="D48" i="23"/>
  <c r="F48" i="23" s="1"/>
  <c r="F51" i="23" s="1"/>
  <c r="D37" i="23"/>
  <c r="F37" i="23" s="1"/>
  <c r="D36" i="23"/>
  <c r="F36" i="23" s="1"/>
  <c r="D35" i="23"/>
  <c r="D41" i="23" s="1"/>
  <c r="D28" i="23"/>
  <c r="F28" i="23" s="1"/>
  <c r="D27" i="23"/>
  <c r="F27" i="23" s="1"/>
  <c r="D26" i="23"/>
  <c r="D33" i="23" s="1"/>
  <c r="D20" i="23"/>
  <c r="F20" i="23" s="1"/>
  <c r="D14" i="23"/>
  <c r="F14" i="23" s="1"/>
  <c r="D13" i="23"/>
  <c r="F13" i="23" s="1"/>
  <c r="D12" i="23"/>
  <c r="F12" i="23" s="1"/>
  <c r="F17" i="23" s="1"/>
  <c r="D9" i="23"/>
  <c r="F9" i="23" s="1"/>
  <c r="D8" i="23"/>
  <c r="F8" i="23" s="1"/>
  <c r="D19" i="23"/>
  <c r="D24" i="23" s="1"/>
  <c r="F5" i="23"/>
  <c r="H5" i="23"/>
  <c r="J5" i="23"/>
  <c r="H8" i="23"/>
  <c r="J8" i="23" s="1"/>
  <c r="H9" i="23"/>
  <c r="J9" i="23" s="1"/>
  <c r="H12" i="23"/>
  <c r="H17" i="23" s="1"/>
  <c r="L12" i="23"/>
  <c r="H13" i="23"/>
  <c r="J13" i="23" s="1"/>
  <c r="L13" i="23"/>
  <c r="H14" i="23"/>
  <c r="J14" i="23" s="1"/>
  <c r="F15" i="23"/>
  <c r="H19" i="23"/>
  <c r="J19" i="23" s="1"/>
  <c r="J24" i="23" s="1"/>
  <c r="H20" i="23"/>
  <c r="J20" i="23" s="1"/>
  <c r="L20" i="23"/>
  <c r="F21" i="23"/>
  <c r="J21" i="23"/>
  <c r="F22" i="23"/>
  <c r="H26" i="23"/>
  <c r="H33" i="23" s="1"/>
  <c r="L26" i="23"/>
  <c r="H27" i="23"/>
  <c r="J27" i="23" s="1"/>
  <c r="L27" i="23"/>
  <c r="H28" i="23"/>
  <c r="J28" i="23" s="1"/>
  <c r="F29" i="23"/>
  <c r="F30" i="23"/>
  <c r="J30" i="23"/>
  <c r="F31" i="23"/>
  <c r="H35" i="23"/>
  <c r="H41" i="23" s="1"/>
  <c r="H36" i="23"/>
  <c r="J36" i="23" s="1"/>
  <c r="H37" i="23"/>
  <c r="J37" i="23" s="1"/>
  <c r="F38" i="23"/>
  <c r="J38" i="23"/>
  <c r="F39" i="23"/>
  <c r="J39" i="23"/>
  <c r="F49" i="23"/>
  <c r="J49" i="23"/>
  <c r="H54" i="23"/>
  <c r="J54" i="23" s="1"/>
  <c r="J62" i="23" s="1"/>
  <c r="H55" i="23"/>
  <c r="J55" i="23" s="1"/>
  <c r="H56" i="23"/>
  <c r="J56" i="23" s="1"/>
  <c r="H57" i="23"/>
  <c r="J57" i="23" s="1"/>
  <c r="H58" i="23"/>
  <c r="J58" i="23" s="1"/>
  <c r="H59" i="23"/>
  <c r="J59" i="23" s="1"/>
  <c r="F60" i="23"/>
  <c r="J60" i="23"/>
  <c r="H64" i="23"/>
  <c r="J64" i="23" s="1"/>
  <c r="J72" i="23" s="1"/>
  <c r="H65" i="23"/>
  <c r="J65" i="23" s="1"/>
  <c r="H66" i="23"/>
  <c r="J66" i="23" s="1"/>
  <c r="H67" i="23"/>
  <c r="J67" i="23" s="1"/>
  <c r="H68" i="23"/>
  <c r="J68" i="23" s="1"/>
  <c r="H69" i="23"/>
  <c r="J69" i="23" s="1"/>
  <c r="F70" i="23"/>
  <c r="J70" i="23"/>
  <c r="E80" i="23"/>
  <c r="H80" i="23"/>
  <c r="H83" i="23" s="1"/>
  <c r="I80" i="23"/>
  <c r="I83" i="23" s="1"/>
  <c r="F81" i="23"/>
  <c r="J81" i="23"/>
  <c r="E86" i="23"/>
  <c r="E93" i="23" s="1"/>
  <c r="H86" i="23"/>
  <c r="I86" i="23"/>
  <c r="I93" i="23" s="1"/>
  <c r="L86" i="23"/>
  <c r="E87" i="23"/>
  <c r="H87" i="23"/>
  <c r="I87" i="23"/>
  <c r="L87" i="23"/>
  <c r="E88" i="23"/>
  <c r="H88" i="23"/>
  <c r="I88" i="23"/>
  <c r="L88" i="23"/>
  <c r="E90" i="23"/>
  <c r="H90" i="23"/>
  <c r="I90" i="23"/>
  <c r="L90" i="23"/>
  <c r="F91" i="23"/>
  <c r="J91" i="23"/>
  <c r="E96" i="23"/>
  <c r="H96" i="23"/>
  <c r="I96" i="23"/>
  <c r="I104" i="23" s="1"/>
  <c r="L96" i="23"/>
  <c r="E97" i="23"/>
  <c r="H97" i="23"/>
  <c r="I97" i="23"/>
  <c r="L97" i="23"/>
  <c r="E98" i="23"/>
  <c r="H98" i="23"/>
  <c r="I98" i="23"/>
  <c r="L98" i="23"/>
  <c r="E99" i="23"/>
  <c r="H99" i="23"/>
  <c r="I99" i="23"/>
  <c r="L99" i="23"/>
  <c r="E101" i="23"/>
  <c r="H101" i="23"/>
  <c r="I101" i="23"/>
  <c r="L101" i="23"/>
  <c r="F102" i="23"/>
  <c r="J102" i="23"/>
  <c r="F107" i="23"/>
  <c r="J107" i="23"/>
  <c r="E111" i="23"/>
  <c r="H111" i="23"/>
  <c r="I111" i="23"/>
  <c r="L111" i="23"/>
  <c r="E112" i="23"/>
  <c r="H112" i="23"/>
  <c r="I112" i="23"/>
  <c r="L112" i="23"/>
  <c r="H124" i="23"/>
  <c r="J124" i="23" s="1"/>
  <c r="J128" i="23" s="1"/>
  <c r="H125" i="23"/>
  <c r="J125" i="23" s="1"/>
  <c r="F126" i="23"/>
  <c r="J126" i="23"/>
  <c r="H131" i="23"/>
  <c r="J131" i="23" s="1"/>
  <c r="H134" i="23"/>
  <c r="J134" i="23" s="1"/>
  <c r="J137" i="23" s="1"/>
  <c r="F135" i="23"/>
  <c r="J135" i="23"/>
  <c r="H140" i="23"/>
  <c r="J140" i="23" s="1"/>
  <c r="J143" i="23" s="1"/>
  <c r="F141" i="23"/>
  <c r="J141" i="23"/>
  <c r="E146" i="23"/>
  <c r="H146" i="23"/>
  <c r="H149" i="23" s="1"/>
  <c r="I146" i="23"/>
  <c r="F147" i="23"/>
  <c r="J147" i="23"/>
  <c r="L149" i="23"/>
  <c r="E152" i="23"/>
  <c r="E159" i="23" s="1"/>
  <c r="H152" i="23"/>
  <c r="I152" i="23"/>
  <c r="I159" i="23" s="1"/>
  <c r="L152" i="23"/>
  <c r="F153" i="23"/>
  <c r="H153" i="23"/>
  <c r="I153" i="23"/>
  <c r="E154" i="23"/>
  <c r="H154" i="23"/>
  <c r="I154" i="23"/>
  <c r="L154" i="23"/>
  <c r="E156" i="23"/>
  <c r="H156" i="23"/>
  <c r="I156" i="23"/>
  <c r="L156" i="23"/>
  <c r="F157" i="23"/>
  <c r="J157" i="23"/>
  <c r="E165" i="23"/>
  <c r="H165" i="23"/>
  <c r="H170" i="23" s="1"/>
  <c r="I165" i="23"/>
  <c r="I170" i="23" s="1"/>
  <c r="H167" i="23"/>
  <c r="I167" i="23"/>
  <c r="E168" i="23"/>
  <c r="H168" i="23"/>
  <c r="I168" i="23"/>
  <c r="E179" i="23"/>
  <c r="H179" i="23"/>
  <c r="H182" i="23" s="1"/>
  <c r="I179" i="23"/>
  <c r="F180" i="23"/>
  <c r="F181" i="23"/>
  <c r="H189" i="23"/>
  <c r="J189" i="23" s="1"/>
  <c r="E200" i="23"/>
  <c r="H200" i="23"/>
  <c r="I200" i="23"/>
  <c r="E201" i="23"/>
  <c r="H201" i="23"/>
  <c r="I201" i="23"/>
  <c r="L201" i="23"/>
  <c r="E202" i="23"/>
  <c r="H202" i="23"/>
  <c r="I202" i="23"/>
  <c r="L202" i="23"/>
  <c r="H48" i="23"/>
  <c r="J48" i="23" s="1"/>
  <c r="J51" i="23" s="1"/>
  <c r="T98" i="10"/>
  <c r="F98" i="10" s="1"/>
  <c r="S98" i="10"/>
  <c r="R98" i="10"/>
  <c r="E98" i="10" s="1"/>
  <c r="Q98" i="10"/>
  <c r="D98" i="10" s="1"/>
  <c r="F91" i="10"/>
  <c r="E91" i="10"/>
  <c r="D91" i="10"/>
  <c r="F89" i="10"/>
  <c r="E89" i="10"/>
  <c r="D89" i="10"/>
  <c r="F88" i="10"/>
  <c r="E88" i="10"/>
  <c r="D88" i="10"/>
  <c r="F86" i="10"/>
  <c r="E86" i="10"/>
  <c r="D86" i="10"/>
  <c r="F85" i="10"/>
  <c r="E85" i="10"/>
  <c r="D85" i="10"/>
  <c r="F80" i="10"/>
  <c r="E80" i="10"/>
  <c r="D80" i="10"/>
  <c r="F79" i="10"/>
  <c r="E79" i="10"/>
  <c r="D79" i="10"/>
  <c r="F78" i="10"/>
  <c r="F81" i="10" s="1"/>
  <c r="E78" i="10"/>
  <c r="E81" i="10" s="1"/>
  <c r="D78" i="10"/>
  <c r="D81" i="10" s="1"/>
  <c r="F76" i="10"/>
  <c r="E76" i="10"/>
  <c r="D76" i="10"/>
  <c r="F75" i="10"/>
  <c r="E75" i="10"/>
  <c r="D75" i="10"/>
  <c r="F74" i="10"/>
  <c r="F77" i="10" s="1"/>
  <c r="E74" i="10"/>
  <c r="E77" i="10" s="1"/>
  <c r="D74" i="10"/>
  <c r="D77" i="10" s="1"/>
  <c r="T67" i="10"/>
  <c r="F67" i="10" s="1"/>
  <c r="F64" i="10" s="1"/>
  <c r="S67" i="10"/>
  <c r="R67" i="10"/>
  <c r="E67" i="10" s="1"/>
  <c r="E64" i="10" s="1"/>
  <c r="Q67" i="10"/>
  <c r="D67" i="10" s="1"/>
  <c r="D64" i="10" s="1"/>
  <c r="F66" i="10"/>
  <c r="E66" i="10"/>
  <c r="D66" i="10"/>
  <c r="F65" i="10"/>
  <c r="E65" i="10"/>
  <c r="D65" i="10"/>
  <c r="F63" i="10"/>
  <c r="F68" i="10" s="1"/>
  <c r="E63" i="10"/>
  <c r="E68" i="10" s="1"/>
  <c r="D63" i="10"/>
  <c r="D68" i="10" s="1"/>
  <c r="F61" i="10"/>
  <c r="E61" i="10"/>
  <c r="D61" i="10"/>
  <c r="F60" i="10"/>
  <c r="E60" i="10"/>
  <c r="D60" i="10"/>
  <c r="F59" i="10"/>
  <c r="E59" i="10"/>
  <c r="D59" i="10"/>
  <c r="F58" i="10"/>
  <c r="E58" i="10"/>
  <c r="D58" i="10"/>
  <c r="F57" i="10"/>
  <c r="E57" i="10"/>
  <c r="D57" i="10"/>
  <c r="F56" i="10"/>
  <c r="F62" i="10" s="1"/>
  <c r="E56" i="10"/>
  <c r="E62" i="10" s="1"/>
  <c r="D56" i="10"/>
  <c r="D62" i="10" s="1"/>
  <c r="E54" i="10"/>
  <c r="D54" i="10"/>
  <c r="F48" i="10"/>
  <c r="E48" i="10"/>
  <c r="D48" i="10"/>
  <c r="F47" i="10"/>
  <c r="E47" i="10"/>
  <c r="D47" i="10"/>
  <c r="F43" i="10"/>
  <c r="E43" i="10"/>
  <c r="D43" i="10"/>
  <c r="F41" i="10"/>
  <c r="E41" i="10"/>
  <c r="D41" i="10"/>
  <c r="F40" i="10"/>
  <c r="E40" i="10"/>
  <c r="D40" i="10"/>
  <c r="F39" i="10"/>
  <c r="E39" i="10"/>
  <c r="D39" i="10"/>
  <c r="F38" i="10"/>
  <c r="F42" i="10" s="1"/>
  <c r="E38" i="10"/>
  <c r="E42" i="10" s="1"/>
  <c r="D38" i="10"/>
  <c r="D42" i="10" s="1"/>
  <c r="F36" i="10"/>
  <c r="E36" i="10"/>
  <c r="D36" i="10"/>
  <c r="F35" i="10"/>
  <c r="F37" i="10" s="1"/>
  <c r="E35" i="10"/>
  <c r="E37" i="10" s="1"/>
  <c r="D35" i="10"/>
  <c r="D37" i="10" s="1"/>
  <c r="T33" i="10"/>
  <c r="F33" i="10" s="1"/>
  <c r="F32" i="10" s="1"/>
  <c r="F34" i="10" s="1"/>
  <c r="S33" i="10"/>
  <c r="R33" i="10"/>
  <c r="E33" i="10" s="1"/>
  <c r="E32" i="10" s="1"/>
  <c r="E34" i="10" s="1"/>
  <c r="Q33" i="10"/>
  <c r="D33" i="10" s="1"/>
  <c r="D32" i="10" s="1"/>
  <c r="D34" i="10" s="1"/>
  <c r="F30" i="10"/>
  <c r="E30" i="10"/>
  <c r="D30" i="10"/>
  <c r="F29" i="10"/>
  <c r="E29" i="10"/>
  <c r="D29" i="10"/>
  <c r="F28" i="10"/>
  <c r="E28" i="10"/>
  <c r="D28" i="10"/>
  <c r="F27" i="10"/>
  <c r="E27" i="10"/>
  <c r="D27" i="10"/>
  <c r="F26" i="10"/>
  <c r="F31" i="10" s="1"/>
  <c r="E26" i="10"/>
  <c r="E31" i="10" s="1"/>
  <c r="D26" i="10"/>
  <c r="D31" i="10" s="1"/>
  <c r="F22" i="10"/>
  <c r="E22" i="10"/>
  <c r="D22" i="10"/>
  <c r="T21" i="10"/>
  <c r="F21" i="10" s="1"/>
  <c r="F20" i="10" s="1"/>
  <c r="S21" i="10"/>
  <c r="R21" i="10"/>
  <c r="E21" i="10" s="1"/>
  <c r="E20" i="10" s="1"/>
  <c r="Q21" i="10"/>
  <c r="D21" i="10" s="1"/>
  <c r="D20" i="10" s="1"/>
  <c r="T20" i="10"/>
  <c r="S20" i="10"/>
  <c r="R20" i="10"/>
  <c r="Q20" i="10"/>
  <c r="F19" i="10"/>
  <c r="E19" i="10"/>
  <c r="D19" i="10"/>
  <c r="F18" i="10"/>
  <c r="E18" i="10"/>
  <c r="D18" i="10"/>
  <c r="F17" i="10"/>
  <c r="E17" i="10"/>
  <c r="D17" i="10"/>
  <c r="F13" i="10"/>
  <c r="E13" i="10"/>
  <c r="D13" i="10"/>
  <c r="C13" i="10"/>
  <c r="B13" i="10"/>
  <c r="F12" i="10"/>
  <c r="E12" i="10"/>
  <c r="D12" i="10"/>
  <c r="C12" i="10"/>
  <c r="B12" i="10"/>
  <c r="F11" i="10"/>
  <c r="F15" i="10" s="1"/>
  <c r="F24" i="10" s="1"/>
  <c r="E11" i="10"/>
  <c r="E15" i="10" s="1"/>
  <c r="E24" i="10" s="1"/>
  <c r="D11" i="10"/>
  <c r="D15" i="10" s="1"/>
  <c r="D24" i="10" s="1"/>
  <c r="C11" i="10"/>
  <c r="C15" i="10" s="1"/>
  <c r="B11" i="10"/>
  <c r="B15" i="10" s="1"/>
  <c r="A1" i="10"/>
  <c r="A5" i="23"/>
  <c r="E123" i="8"/>
  <c r="D123" i="8"/>
  <c r="E122" i="8"/>
  <c r="D122" i="8"/>
  <c r="E121" i="8"/>
  <c r="D121" i="8"/>
  <c r="E120" i="8"/>
  <c r="D120" i="8"/>
  <c r="E119" i="8"/>
  <c r="D119" i="8"/>
  <c r="E118" i="8"/>
  <c r="D118" i="8"/>
  <c r="E117" i="8"/>
  <c r="D117" i="8"/>
  <c r="E116" i="8"/>
  <c r="D116" i="8"/>
  <c r="E115" i="8"/>
  <c r="D115" i="8"/>
  <c r="E114" i="8"/>
  <c r="D114" i="8"/>
  <c r="E113" i="8"/>
  <c r="D113" i="8"/>
  <c r="E112" i="8"/>
  <c r="D112" i="8"/>
  <c r="E111" i="8"/>
  <c r="D111" i="8"/>
  <c r="E110" i="8"/>
  <c r="D110" i="8"/>
  <c r="E109" i="8"/>
  <c r="D109" i="8"/>
  <c r="E108" i="8"/>
  <c r="E125" i="8" s="1"/>
  <c r="E42" i="8" s="1"/>
  <c r="D108" i="8"/>
  <c r="D125" i="8" s="1"/>
  <c r="D42" i="8" s="1"/>
  <c r="E103" i="8"/>
  <c r="D103" i="8"/>
  <c r="E102" i="8"/>
  <c r="D102" i="8"/>
  <c r="E101" i="8"/>
  <c r="D101" i="8"/>
  <c r="E100" i="8"/>
  <c r="E105" i="8" s="1"/>
  <c r="E41" i="8" s="1"/>
  <c r="D100" i="8"/>
  <c r="D105" i="8" s="1"/>
  <c r="D41" i="8" s="1"/>
  <c r="E94" i="8"/>
  <c r="D94" i="8"/>
  <c r="E93" i="8"/>
  <c r="D93" i="8"/>
  <c r="E92" i="8"/>
  <c r="D92" i="8"/>
  <c r="E91" i="8"/>
  <c r="D91" i="8"/>
  <c r="E90" i="8"/>
  <c r="D90" i="8"/>
  <c r="E89" i="8"/>
  <c r="D89" i="8"/>
  <c r="E88" i="8"/>
  <c r="E96" i="8" s="1"/>
  <c r="E38" i="8" s="1"/>
  <c r="D88" i="8"/>
  <c r="D96" i="8" s="1"/>
  <c r="D38" i="8" s="1"/>
  <c r="E83" i="8"/>
  <c r="D83" i="8"/>
  <c r="E82" i="8"/>
  <c r="D82" i="8"/>
  <c r="E81" i="8"/>
  <c r="D81" i="8"/>
  <c r="E80" i="8"/>
  <c r="D80" i="8"/>
  <c r="E79" i="8"/>
  <c r="D79" i="8"/>
  <c r="E78" i="8"/>
  <c r="D78" i="8"/>
  <c r="E77" i="8"/>
  <c r="D77" i="8"/>
  <c r="E76" i="8"/>
  <c r="D76" i="8"/>
  <c r="E75" i="8"/>
  <c r="D75" i="8"/>
  <c r="E74" i="8"/>
  <c r="D74" i="8"/>
  <c r="N73" i="8"/>
  <c r="E73" i="8"/>
  <c r="D73" i="8"/>
  <c r="N72" i="8"/>
  <c r="E72" i="8"/>
  <c r="D72" i="8"/>
  <c r="N71" i="8"/>
  <c r="E71" i="8"/>
  <c r="D71" i="8"/>
  <c r="N70" i="8"/>
  <c r="E70" i="8"/>
  <c r="D70" i="8"/>
  <c r="N69" i="8"/>
  <c r="E69" i="8"/>
  <c r="D69" i="8"/>
  <c r="N68" i="8"/>
  <c r="E68" i="8"/>
  <c r="D68" i="8"/>
  <c r="N67" i="8"/>
  <c r="E67" i="8"/>
  <c r="D67" i="8"/>
  <c r="N66" i="8"/>
  <c r="E66" i="8"/>
  <c r="D66" i="8"/>
  <c r="N65" i="8"/>
  <c r="E65" i="8"/>
  <c r="D65" i="8"/>
  <c r="N64" i="8"/>
  <c r="E64" i="8"/>
  <c r="D64" i="8"/>
  <c r="E63" i="8"/>
  <c r="E85" i="8" s="1"/>
  <c r="E37" i="8" s="1"/>
  <c r="D63" i="8"/>
  <c r="D85" i="8" s="1"/>
  <c r="D37" i="8" s="1"/>
  <c r="E56" i="8"/>
  <c r="D56" i="8"/>
  <c r="E49" i="8"/>
  <c r="D49" i="8"/>
  <c r="E47" i="8"/>
  <c r="D47" i="8"/>
  <c r="E46" i="8"/>
  <c r="E32" i="8" s="1"/>
  <c r="D46" i="8"/>
  <c r="D32" i="8" s="1"/>
  <c r="E40" i="8"/>
  <c r="E43" i="8" s="1"/>
  <c r="D40" i="8"/>
  <c r="D43" i="8" s="1"/>
  <c r="E36" i="8"/>
  <c r="E39" i="8" s="1"/>
  <c r="D36" i="8"/>
  <c r="D39" i="8" s="1"/>
  <c r="E35" i="8"/>
  <c r="D35" i="8"/>
  <c r="E33" i="8"/>
  <c r="D33" i="8"/>
  <c r="E31" i="8"/>
  <c r="D31" i="8"/>
  <c r="E30" i="8"/>
  <c r="E34" i="8" s="1"/>
  <c r="D30" i="8"/>
  <c r="D34" i="8" s="1"/>
  <c r="E28" i="8"/>
  <c r="D28" i="8"/>
  <c r="E27" i="8"/>
  <c r="E29" i="8" s="1"/>
  <c r="D27" i="8"/>
  <c r="D29" i="8" s="1"/>
  <c r="E25" i="8"/>
  <c r="D25" i="8"/>
  <c r="E24" i="8"/>
  <c r="E26" i="8" s="1"/>
  <c r="D24" i="8"/>
  <c r="D26" i="8" s="1"/>
  <c r="E22" i="8"/>
  <c r="D22" i="8"/>
  <c r="E21" i="8"/>
  <c r="D21" i="8"/>
  <c r="E20" i="8"/>
  <c r="E18" i="8" s="1"/>
  <c r="D20" i="8"/>
  <c r="D18" i="8" s="1"/>
  <c r="E19" i="8"/>
  <c r="D19" i="8"/>
  <c r="E16" i="8"/>
  <c r="D16" i="8"/>
  <c r="E15" i="8"/>
  <c r="D15" i="8"/>
  <c r="E14" i="8"/>
  <c r="D14" i="8"/>
  <c r="E13" i="8"/>
  <c r="E17" i="8" s="1"/>
  <c r="D13" i="8"/>
  <c r="D17" i="8" s="1"/>
  <c r="E12" i="8"/>
  <c r="D12" i="8"/>
  <c r="E11" i="8"/>
  <c r="D11" i="8"/>
  <c r="E10" i="8"/>
  <c r="D10" i="8"/>
  <c r="C10" i="8"/>
  <c r="A1" i="8"/>
  <c r="D140" i="16"/>
  <c r="E138" i="16"/>
  <c r="C138" i="16"/>
  <c r="B138" i="16"/>
  <c r="E137" i="16"/>
  <c r="C137" i="16"/>
  <c r="B137" i="16"/>
  <c r="E136" i="16"/>
  <c r="E140" i="16" s="1"/>
  <c r="C136" i="16"/>
  <c r="C140" i="16" s="1"/>
  <c r="B136" i="16"/>
  <c r="B140" i="16" s="1"/>
  <c r="C43" i="16" s="1"/>
  <c r="E130" i="16"/>
  <c r="C130" i="16"/>
  <c r="B130" i="16"/>
  <c r="E129" i="16"/>
  <c r="C129" i="16"/>
  <c r="B129" i="16"/>
  <c r="E128" i="16"/>
  <c r="C128" i="16"/>
  <c r="B128" i="16"/>
  <c r="E127" i="16"/>
  <c r="C127" i="16"/>
  <c r="B127" i="16"/>
  <c r="E126" i="16"/>
  <c r="C126" i="16"/>
  <c r="B126" i="16"/>
  <c r="E125" i="16"/>
  <c r="C125" i="16"/>
  <c r="B125" i="16"/>
  <c r="E124" i="16"/>
  <c r="C124" i="16"/>
  <c r="B124" i="16"/>
  <c r="E123" i="16"/>
  <c r="C123" i="16"/>
  <c r="B123" i="16"/>
  <c r="E122" i="16"/>
  <c r="C122" i="16"/>
  <c r="B122" i="16"/>
  <c r="E121" i="16"/>
  <c r="C121" i="16"/>
  <c r="B121" i="16"/>
  <c r="E120" i="16"/>
  <c r="C120" i="16"/>
  <c r="B120" i="16"/>
  <c r="E119" i="16"/>
  <c r="C119" i="16"/>
  <c r="B119" i="16"/>
  <c r="E118" i="16"/>
  <c r="C118" i="16"/>
  <c r="B118" i="16"/>
  <c r="E117" i="16"/>
  <c r="C117" i="16"/>
  <c r="B117" i="16"/>
  <c r="E116" i="16"/>
  <c r="C116" i="16"/>
  <c r="B116" i="16"/>
  <c r="E115" i="16"/>
  <c r="C115" i="16"/>
  <c r="B115" i="16"/>
  <c r="E114" i="16"/>
  <c r="E132" i="16" s="1"/>
  <c r="D114" i="16"/>
  <c r="D132" i="16" s="1"/>
  <c r="D143" i="16" s="1"/>
  <c r="C114" i="16"/>
  <c r="C132" i="16" s="1"/>
  <c r="B114" i="16"/>
  <c r="B132" i="16" s="1"/>
  <c r="D107" i="16"/>
  <c r="D110" i="16" s="1"/>
  <c r="E105" i="16"/>
  <c r="C105" i="16"/>
  <c r="B105" i="16"/>
  <c r="E104" i="16"/>
  <c r="C104" i="16"/>
  <c r="B104" i="16"/>
  <c r="E103" i="16"/>
  <c r="E107" i="16" s="1"/>
  <c r="C103" i="16"/>
  <c r="C107" i="16" s="1"/>
  <c r="B103" i="16"/>
  <c r="B107" i="16" s="1"/>
  <c r="D99" i="16"/>
  <c r="E97" i="16"/>
  <c r="C97" i="16"/>
  <c r="B97" i="16"/>
  <c r="E96" i="16"/>
  <c r="C96" i="16"/>
  <c r="B96" i="16"/>
  <c r="E95" i="16"/>
  <c r="C95" i="16"/>
  <c r="B95" i="16"/>
  <c r="E94" i="16"/>
  <c r="C94" i="16"/>
  <c r="B94" i="16"/>
  <c r="E93" i="16"/>
  <c r="C93" i="16"/>
  <c r="B93" i="16"/>
  <c r="E92" i="16"/>
  <c r="C92" i="16"/>
  <c r="B92" i="16"/>
  <c r="E91" i="16"/>
  <c r="C91" i="16"/>
  <c r="B91" i="16"/>
  <c r="E90" i="16"/>
  <c r="C90" i="16"/>
  <c r="B90" i="16"/>
  <c r="E89" i="16"/>
  <c r="C89" i="16"/>
  <c r="B89" i="16"/>
  <c r="E88" i="16"/>
  <c r="C88" i="16"/>
  <c r="B88" i="16"/>
  <c r="E87" i="16"/>
  <c r="C87" i="16"/>
  <c r="B87" i="16"/>
  <c r="E86" i="16"/>
  <c r="C86" i="16"/>
  <c r="B86" i="16"/>
  <c r="E85" i="16"/>
  <c r="C85" i="16"/>
  <c r="B85" i="16"/>
  <c r="E84" i="16"/>
  <c r="C84" i="16"/>
  <c r="B84" i="16"/>
  <c r="E83" i="16"/>
  <c r="C83" i="16"/>
  <c r="B83" i="16"/>
  <c r="E82" i="16"/>
  <c r="C82" i="16"/>
  <c r="B82" i="16"/>
  <c r="E81" i="16"/>
  <c r="C81" i="16"/>
  <c r="B81" i="16"/>
  <c r="E80" i="16"/>
  <c r="C80" i="16"/>
  <c r="B80" i="16"/>
  <c r="E79" i="16"/>
  <c r="C79" i="16"/>
  <c r="B79" i="16"/>
  <c r="E78" i="16"/>
  <c r="C78" i="16"/>
  <c r="B78" i="16"/>
  <c r="E77" i="16"/>
  <c r="C77" i="16"/>
  <c r="B77" i="16"/>
  <c r="E76" i="16"/>
  <c r="C76" i="16"/>
  <c r="B76" i="16"/>
  <c r="E75" i="16"/>
  <c r="C75" i="16"/>
  <c r="B75" i="16"/>
  <c r="E74" i="16"/>
  <c r="C74" i="16"/>
  <c r="B74" i="16"/>
  <c r="E73" i="16"/>
  <c r="C73" i="16"/>
  <c r="B73" i="16"/>
  <c r="E72" i="16"/>
  <c r="C72" i="16"/>
  <c r="B72" i="16"/>
  <c r="E71" i="16"/>
  <c r="C71" i="16"/>
  <c r="B71" i="16"/>
  <c r="E70" i="16"/>
  <c r="C70" i="16"/>
  <c r="B70" i="16"/>
  <c r="E69" i="16"/>
  <c r="C69" i="16"/>
  <c r="B69" i="16"/>
  <c r="E68" i="16"/>
  <c r="C68" i="16"/>
  <c r="B68" i="16"/>
  <c r="E67" i="16"/>
  <c r="C67" i="16"/>
  <c r="B67" i="16"/>
  <c r="E66" i="16"/>
  <c r="C66" i="16"/>
  <c r="B66" i="16"/>
  <c r="E65" i="16"/>
  <c r="E99" i="16" s="1"/>
  <c r="C65" i="16"/>
  <c r="C99" i="16" s="1"/>
  <c r="B65" i="16"/>
  <c r="B99" i="16" s="1"/>
  <c r="E63" i="16"/>
  <c r="D63" i="16"/>
  <c r="C63" i="16"/>
  <c r="B63" i="16"/>
  <c r="E53" i="16"/>
  <c r="D53" i="16"/>
  <c r="B53" i="16"/>
  <c r="E52" i="16"/>
  <c r="D52" i="16"/>
  <c r="B52" i="16"/>
  <c r="E51" i="16"/>
  <c r="D51" i="16"/>
  <c r="B51" i="16"/>
  <c r="E49" i="16"/>
  <c r="D49" i="16"/>
  <c r="C49" i="16"/>
  <c r="B49" i="16"/>
  <c r="E47" i="16"/>
  <c r="D47" i="16"/>
  <c r="C47" i="16"/>
  <c r="B47" i="16"/>
  <c r="E45" i="16"/>
  <c r="E48" i="16" s="1"/>
  <c r="D45" i="16"/>
  <c r="D48" i="16" s="1"/>
  <c r="C45" i="16"/>
  <c r="C48" i="16" s="1"/>
  <c r="B45" i="16"/>
  <c r="B48" i="16" s="1"/>
  <c r="E40" i="16"/>
  <c r="E42" i="16" s="1"/>
  <c r="D40" i="16"/>
  <c r="D42" i="16" s="1"/>
  <c r="C40" i="16"/>
  <c r="C42" i="16" s="1"/>
  <c r="B40" i="16"/>
  <c r="B42" i="16" s="1"/>
  <c r="E39" i="16"/>
  <c r="D39" i="16"/>
  <c r="C39" i="16"/>
  <c r="B39" i="16"/>
  <c r="E37" i="16"/>
  <c r="D37" i="16"/>
  <c r="C37" i="16"/>
  <c r="B37" i="16"/>
  <c r="E36" i="16"/>
  <c r="D36" i="16"/>
  <c r="C36" i="16"/>
  <c r="B36" i="16"/>
  <c r="E35" i="16"/>
  <c r="D35" i="16"/>
  <c r="C35" i="16"/>
  <c r="B35" i="16"/>
  <c r="E34" i="16"/>
  <c r="D34" i="16"/>
  <c r="C34" i="16"/>
  <c r="B34" i="16"/>
  <c r="E33" i="16"/>
  <c r="E38" i="16" s="1"/>
  <c r="D33" i="16"/>
  <c r="D38" i="16" s="1"/>
  <c r="C33" i="16"/>
  <c r="C38" i="16" s="1"/>
  <c r="B33" i="16"/>
  <c r="B38" i="16" s="1"/>
  <c r="E30" i="16"/>
  <c r="D30" i="16"/>
  <c r="C30" i="16"/>
  <c r="B30" i="16"/>
  <c r="E29" i="16"/>
  <c r="D29" i="16"/>
  <c r="C29" i="16"/>
  <c r="B29" i="16"/>
  <c r="E28" i="16"/>
  <c r="D28" i="16"/>
  <c r="C28" i="16"/>
  <c r="B28" i="16"/>
  <c r="E27" i="16"/>
  <c r="D27" i="16"/>
  <c r="C27" i="16"/>
  <c r="B27" i="16"/>
  <c r="E26" i="16"/>
  <c r="E31" i="16" s="1"/>
  <c r="D26" i="16"/>
  <c r="D31" i="16" s="1"/>
  <c r="C26" i="16"/>
  <c r="C31" i="16" s="1"/>
  <c r="B26" i="16"/>
  <c r="B31" i="16" s="1"/>
  <c r="E24" i="16"/>
  <c r="D24" i="16"/>
  <c r="C24" i="16"/>
  <c r="B24" i="16"/>
  <c r="E23" i="16"/>
  <c r="D23" i="16"/>
  <c r="C23" i="16"/>
  <c r="B23" i="16"/>
  <c r="E22" i="16"/>
  <c r="D22" i="16"/>
  <c r="C22" i="16"/>
  <c r="B22" i="16"/>
  <c r="E21" i="16"/>
  <c r="D21" i="16"/>
  <c r="C21" i="16"/>
  <c r="B21" i="16"/>
  <c r="E20" i="16"/>
  <c r="D20" i="16"/>
  <c r="C20" i="16"/>
  <c r="B20" i="16"/>
  <c r="E19" i="16"/>
  <c r="E25" i="16" s="1"/>
  <c r="D19" i="16"/>
  <c r="D25" i="16" s="1"/>
  <c r="C19" i="16"/>
  <c r="C25" i="16" s="1"/>
  <c r="B19" i="16"/>
  <c r="B25" i="16" s="1"/>
  <c r="E17" i="16"/>
  <c r="D17" i="16"/>
  <c r="C17" i="16"/>
  <c r="B17" i="16"/>
  <c r="E16" i="16"/>
  <c r="D16" i="16"/>
  <c r="C16" i="16"/>
  <c r="B16" i="16"/>
  <c r="E15" i="16"/>
  <c r="D15" i="16"/>
  <c r="C15" i="16"/>
  <c r="B15" i="16"/>
  <c r="E14" i="16"/>
  <c r="D14" i="16"/>
  <c r="C14" i="16"/>
  <c r="B14" i="16"/>
  <c r="E13" i="16"/>
  <c r="D13" i="16"/>
  <c r="C13" i="16"/>
  <c r="B13" i="16"/>
  <c r="E12" i="16"/>
  <c r="E18" i="16" s="1"/>
  <c r="D12" i="16"/>
  <c r="D18" i="16" s="1"/>
  <c r="C12" i="16"/>
  <c r="C18" i="16" s="1"/>
  <c r="B12" i="16"/>
  <c r="B18" i="16" s="1"/>
  <c r="E10" i="16"/>
  <c r="D10" i="16"/>
  <c r="B10" i="16"/>
  <c r="A5" i="16"/>
  <c r="A31" i="9"/>
  <c r="A29" i="9"/>
  <c r="A25" i="9"/>
  <c r="F200" i="23" l="1"/>
  <c r="F101" i="23"/>
  <c r="F156" i="23"/>
  <c r="F154" i="23"/>
  <c r="J86" i="23"/>
  <c r="J93" i="23" s="1"/>
  <c r="F134" i="23"/>
  <c r="F137" i="23" s="1"/>
  <c r="F99" i="23"/>
  <c r="F201" i="23"/>
  <c r="F165" i="23"/>
  <c r="F170" i="23" s="1"/>
  <c r="F88" i="23"/>
  <c r="J202" i="23"/>
  <c r="J90" i="23"/>
  <c r="F87" i="23"/>
  <c r="E170" i="23"/>
  <c r="F111" i="23"/>
  <c r="F114" i="23" s="1"/>
  <c r="F96" i="23"/>
  <c r="F104" i="23" s="1"/>
  <c r="D51" i="23"/>
  <c r="J101" i="23"/>
  <c r="J98" i="23"/>
  <c r="F80" i="23"/>
  <c r="F83" i="23" s="1"/>
  <c r="F146" i="23"/>
  <c r="F149" i="23" s="1"/>
  <c r="E83" i="10"/>
  <c r="J168" i="23"/>
  <c r="D149" i="23"/>
  <c r="E70" i="10"/>
  <c r="J167" i="23"/>
  <c r="J88" i="23"/>
  <c r="J35" i="23"/>
  <c r="J41" i="23" s="1"/>
  <c r="D72" i="23"/>
  <c r="D74" i="23" s="1"/>
  <c r="J146" i="23"/>
  <c r="J149" i="23" s="1"/>
  <c r="D70" i="10"/>
  <c r="J152" i="23"/>
  <c r="J159" i="23" s="1"/>
  <c r="I114" i="23"/>
  <c r="F26" i="23"/>
  <c r="F33" i="23" s="1"/>
  <c r="F168" i="23"/>
  <c r="H114" i="23"/>
  <c r="H72" i="23"/>
  <c r="H137" i="23"/>
  <c r="E104" i="23"/>
  <c r="F98" i="23"/>
  <c r="J156" i="23"/>
  <c r="F90" i="23"/>
  <c r="J87" i="23"/>
  <c r="D17" i="23"/>
  <c r="D45" i="23" s="1"/>
  <c r="C44" i="16"/>
  <c r="C50" i="16" s="1"/>
  <c r="E114" i="23"/>
  <c r="E110" i="16"/>
  <c r="E41" i="16" s="1"/>
  <c r="D143" i="23"/>
  <c r="B143" i="16"/>
  <c r="B43" i="16"/>
  <c r="B44" i="16" s="1"/>
  <c r="B50" i="16" s="1"/>
  <c r="B110" i="16"/>
  <c r="B41" i="16"/>
  <c r="D44" i="8"/>
  <c r="D48" i="8" s="1"/>
  <c r="H159" i="23"/>
  <c r="F112" i="23"/>
  <c r="D204" i="23"/>
  <c r="B32" i="16"/>
  <c r="C143" i="16"/>
  <c r="E44" i="8"/>
  <c r="E48" i="8" s="1"/>
  <c r="D45" i="10"/>
  <c r="D50" i="10" s="1"/>
  <c r="J111" i="23"/>
  <c r="J114" i="23" s="1"/>
  <c r="J99" i="23"/>
  <c r="J74" i="23"/>
  <c r="J12" i="23"/>
  <c r="J17" i="23" s="1"/>
  <c r="F19" i="23"/>
  <c r="F24" i="23" s="1"/>
  <c r="F35" i="23"/>
  <c r="F41" i="23" s="1"/>
  <c r="C32" i="16"/>
  <c r="C41" i="16"/>
  <c r="F70" i="10"/>
  <c r="J97" i="23"/>
  <c r="J80" i="23"/>
  <c r="J83" i="23" s="1"/>
  <c r="E32" i="16"/>
  <c r="H51" i="23"/>
  <c r="J201" i="23"/>
  <c r="F97" i="23"/>
  <c r="J154" i="23"/>
  <c r="J112" i="23"/>
  <c r="H24" i="23"/>
  <c r="H45" i="23" s="1"/>
  <c r="D32" i="16"/>
  <c r="C110" i="16"/>
  <c r="I204" i="23"/>
  <c r="H62" i="23"/>
  <c r="D114" i="23"/>
  <c r="E23" i="8"/>
  <c r="J200" i="23"/>
  <c r="J96" i="23"/>
  <c r="J104" i="23" s="1"/>
  <c r="E45" i="10"/>
  <c r="E50" i="10" s="1"/>
  <c r="D23" i="8"/>
  <c r="F45" i="10"/>
  <c r="F50" i="10" s="1"/>
  <c r="E143" i="16"/>
  <c r="E43" i="16" s="1"/>
  <c r="E44" i="16" s="1"/>
  <c r="E50" i="16" s="1"/>
  <c r="D83" i="10"/>
  <c r="D43" i="23"/>
  <c r="H43" i="23"/>
  <c r="F83" i="10"/>
  <c r="F202" i="23"/>
  <c r="F179" i="23"/>
  <c r="F182" i="23" s="1"/>
  <c r="F193" i="23" s="1"/>
  <c r="J165" i="23"/>
  <c r="J170" i="23" s="1"/>
  <c r="F86" i="23"/>
  <c r="F93" i="23" s="1"/>
  <c r="J26" i="23"/>
  <c r="J33" i="23" s="1"/>
  <c r="H204" i="23"/>
  <c r="F152" i="23"/>
  <c r="F159" i="23" s="1"/>
  <c r="F124" i="23"/>
  <c r="F128" i="23" s="1"/>
  <c r="H143" i="23"/>
  <c r="H93" i="23"/>
  <c r="E83" i="23"/>
  <c r="F54" i="23"/>
  <c r="F62" i="23" s="1"/>
  <c r="F74" i="23" s="1"/>
  <c r="J179" i="23"/>
  <c r="J182" i="23" s="1"/>
  <c r="H128" i="23"/>
  <c r="E204" i="23"/>
  <c r="H104" i="23"/>
  <c r="H206" i="23" l="1"/>
  <c r="F43" i="23"/>
  <c r="D43" i="16"/>
  <c r="D44" i="16" s="1"/>
  <c r="D50" i="16" s="1"/>
  <c r="D54" i="16" s="1"/>
  <c r="J204" i="23"/>
  <c r="F204" i="23"/>
  <c r="D72" i="10"/>
  <c r="F72" i="10"/>
  <c r="H74" i="23"/>
  <c r="F45" i="23"/>
  <c r="F77" i="23" s="1"/>
  <c r="J162" i="23"/>
  <c r="F117" i="23"/>
  <c r="E72" i="10"/>
  <c r="J117" i="23"/>
  <c r="E54" i="16"/>
  <c r="E50" i="8"/>
  <c r="E57" i="8" s="1"/>
  <c r="D206" i="23"/>
  <c r="C54" i="16"/>
  <c r="D41" i="16"/>
  <c r="B54" i="16"/>
  <c r="D50" i="8"/>
  <c r="D57" i="8" s="1"/>
  <c r="J193" i="23"/>
  <c r="J45" i="23"/>
  <c r="J77" i="23" s="1"/>
  <c r="J43" i="23"/>
  <c r="F162" i="23"/>
  <c r="F120" i="23" l="1"/>
  <c r="F208" i="23"/>
  <c r="F210" i="23" s="1"/>
  <c r="J208" i="23"/>
  <c r="J210" i="23" s="1"/>
  <c r="J120"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CTBCN_PAUBERT</author>
    <author>Jessica FROUIN</author>
  </authors>
  <commentList>
    <comment ref="D26" authorId="0" shapeId="0" xr:uid="{00000000-0006-0000-0500-000001000000}">
      <text>
        <r>
          <rPr>
            <b/>
            <sz val="9"/>
            <color rgb="FFE7E6E6"/>
            <rFont val="Tahoma"/>
            <family val="2"/>
          </rPr>
          <t>2019 :
fourchette de comptes à la place d'une cellule de la liasse</t>
        </r>
      </text>
    </comment>
    <comment ref="H26" authorId="0" shapeId="0" xr:uid="{00000000-0006-0000-0500-000002000000}">
      <text>
        <r>
          <rPr>
            <b/>
            <sz val="9"/>
            <color rgb="FFE7E6E6"/>
            <rFont val="Tahoma"/>
            <family val="2"/>
          </rPr>
          <t>2019 :
fourchette de comptes à la place d'une cellule de la liasse</t>
        </r>
      </text>
    </comment>
    <comment ref="H35" authorId="0" shapeId="0" xr:uid="{00000000-0006-0000-0500-000003000000}">
      <text>
        <r>
          <rPr>
            <b/>
            <sz val="9"/>
            <color rgb="FFE7E6E6"/>
            <rFont val="Tahoma"/>
            <family val="2"/>
          </rPr>
          <t>2019 :
fourchette de comptes à la place d'une cellule de la liasse</t>
        </r>
      </text>
    </comment>
    <comment ref="D124" authorId="0" shapeId="0" xr:uid="{00000000-0006-0000-0500-000004000000}">
      <text>
        <r>
          <rPr>
            <b/>
            <sz val="9"/>
            <color rgb="FFE7E6E6"/>
            <rFont val="Tahoma"/>
            <family val="2"/>
          </rPr>
          <t>Saisie directe peut-être nécessaire (cf information après la zone grisée)</t>
        </r>
      </text>
    </comment>
    <comment ref="H124" authorId="0" shapeId="0" xr:uid="{00000000-0006-0000-0500-000005000000}">
      <text>
        <r>
          <rPr>
            <b/>
            <sz val="9"/>
            <color rgb="FFE7E6E6"/>
            <rFont val="Tahoma"/>
            <family val="2"/>
          </rPr>
          <t>Saisie directe peut-être nécessaire (cf information après la zone grisée)</t>
        </r>
      </text>
    </comment>
    <comment ref="D134" authorId="0" shapeId="0" xr:uid="{00000000-0006-0000-0500-000006000000}">
      <text>
        <r>
          <rPr>
            <b/>
            <sz val="9"/>
            <color rgb="FFE7E6E6"/>
            <rFont val="Tahoma"/>
            <family val="2"/>
          </rPr>
          <t>Saisie directe peut-être nécessaire (cf information après la zone grisée)</t>
        </r>
      </text>
    </comment>
    <comment ref="H134" authorId="0" shapeId="0" xr:uid="{00000000-0006-0000-0500-000007000000}">
      <text>
        <r>
          <rPr>
            <b/>
            <sz val="9"/>
            <color rgb="FFE7E6E6"/>
            <rFont val="Tahoma"/>
            <family val="2"/>
          </rPr>
          <t>Saisie directe peut-être nécessaire (cf information après la zone grisée)</t>
        </r>
      </text>
    </comment>
    <comment ref="D153" authorId="0" shapeId="0" xr:uid="{00000000-0006-0000-0500-000008000000}">
      <text>
        <r>
          <rPr>
            <b/>
            <sz val="9"/>
            <color rgb="FFE7E6E6"/>
            <rFont val="Tahoma"/>
            <family val="2"/>
          </rPr>
          <t>reprise du montant indiqué en Dettes financières pour la même rubrique</t>
        </r>
      </text>
    </comment>
    <comment ref="E153" authorId="0" shapeId="0" xr:uid="{00000000-0006-0000-0500-000009000000}">
      <text>
        <r>
          <rPr>
            <b/>
            <sz val="9"/>
            <color rgb="FFE7E6E6"/>
            <rFont val="Tahoma"/>
            <family val="2"/>
          </rPr>
          <t>reprise du montant indiqué en Dettes financières pour la même rubrique</t>
        </r>
      </text>
    </comment>
    <comment ref="H153" authorId="0" shapeId="0" xr:uid="{00000000-0006-0000-0500-00000A000000}">
      <text>
        <r>
          <rPr>
            <b/>
            <sz val="9"/>
            <color rgb="FFE7E6E6"/>
            <rFont val="Tahoma"/>
            <family val="2"/>
          </rPr>
          <t>reprise du montant indiqué en Dettes financières pour la même rubrique</t>
        </r>
      </text>
    </comment>
    <comment ref="I153" authorId="0" shapeId="0" xr:uid="{00000000-0006-0000-0500-00000B000000}">
      <text>
        <r>
          <rPr>
            <b/>
            <sz val="9"/>
            <color rgb="FFE7E6E6"/>
            <rFont val="Tahoma"/>
            <family val="2"/>
          </rPr>
          <t>reprise du montant indiqué en Dettes financières pour la même rubrique</t>
        </r>
      </text>
    </comment>
    <comment ref="E219" authorId="1" shapeId="0" xr:uid="{00000000-0006-0000-0500-00000C000000}">
      <text>
        <r>
          <rPr>
            <b/>
            <sz val="9"/>
            <color rgb="FFE7E6E6"/>
            <rFont val="Tahoma"/>
            <family val="2"/>
          </rPr>
          <t>reprise du montant indiqué en Dettes financières pour la même rubrique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<sst xmlns="http://schemas.openxmlformats.org/spreadsheetml/2006/main" count="494" uniqueCount="311">
  <si>
    <t>Sommaire................................................................................................................................................................................................</t>
  </si>
  <si>
    <t>1</t>
  </si>
  <si>
    <t>2</t>
  </si>
  <si>
    <t>Bilan-Passif............................................................................................................................................................................................</t>
  </si>
  <si>
    <t>3</t>
  </si>
  <si>
    <t>4</t>
  </si>
  <si>
    <t>5</t>
  </si>
  <si>
    <t>ACTIF</t>
  </si>
  <si>
    <t>Créances d'exploitation</t>
  </si>
  <si>
    <t>Construction des montants spécifiques</t>
  </si>
  <si>
    <t>Dettes fiscales et S N</t>
  </si>
  <si>
    <t>début intervalle</t>
  </si>
  <si>
    <t>fin intervalle</t>
  </si>
  <si>
    <t>type flux</t>
  </si>
  <si>
    <t>sn</t>
  </si>
  <si>
    <t>sd</t>
  </si>
  <si>
    <t>+</t>
  </si>
  <si>
    <t>exclusion cpte technique rééval</t>
  </si>
  <si>
    <t>Provisions</t>
  </si>
  <si>
    <t>total autres créances expl + prov</t>
  </si>
  <si>
    <t>Créances divers</t>
  </si>
  <si>
    <t>Total créances diverses + prov</t>
  </si>
  <si>
    <t xml:space="preserve">dont versé : </t>
  </si>
  <si>
    <t>Total Réserves</t>
  </si>
  <si>
    <t>Dettes d'exploitation</t>
  </si>
  <si>
    <t>hors zone d'impression</t>
  </si>
  <si>
    <t>Rappel total Actif</t>
  </si>
  <si>
    <t>Différence Actif / Passif</t>
  </si>
  <si>
    <t>30/06/2023</t>
  </si>
  <si>
    <t>31/12/2022</t>
  </si>
  <si>
    <t>Dettes fiscales et s N</t>
  </si>
  <si>
    <t>sc</t>
  </si>
  <si>
    <t>SN</t>
  </si>
  <si>
    <t>-</t>
  </si>
  <si>
    <t>Autrresz dettes d'exploitation</t>
  </si>
  <si>
    <t>Dettes Fiscales hors exploitation</t>
  </si>
  <si>
    <t>Autres dettes divers</t>
  </si>
  <si>
    <t xml:space="preserve"> </t>
  </si>
  <si>
    <t>France</t>
  </si>
  <si>
    <t>Il n'y a plus lieu de le faire figurer dans la présentation "social" (MLAD)</t>
  </si>
  <si>
    <t>Cessions internes</t>
  </si>
  <si>
    <t>peut ne pas être opérationnel pour juin 2016</t>
  </si>
  <si>
    <t>Stés IF BYSA</t>
  </si>
  <si>
    <t>Prévisionnelle</t>
  </si>
  <si>
    <t>VAR</t>
  </si>
  <si>
    <t>N</t>
  </si>
  <si>
    <t>N-1</t>
  </si>
  <si>
    <t>N-2</t>
  </si>
  <si>
    <t>Résultat de l'exercice ( Bénéfice )</t>
  </si>
  <si>
    <t>Résultat de l'exercice ( Perte )</t>
  </si>
  <si>
    <t>Dotations aux amortissements / immobilisations</t>
  </si>
  <si>
    <t>Dotations aux amortissements dérogatoires</t>
  </si>
  <si>
    <t>Dotations aux amortissements / charges à répartir</t>
  </si>
  <si>
    <r>
      <t xml:space="preserve">Retraitement 1 : </t>
    </r>
    <r>
      <rPr>
        <i/>
        <sz val="11"/>
        <rFont val="Arial"/>
        <family val="2"/>
      </rPr>
      <t>(explication)</t>
    </r>
  </si>
  <si>
    <t>Total</t>
  </si>
  <si>
    <t>Reprises d'amortissements / immobilisations</t>
  </si>
  <si>
    <t>Reprises d'amortissements dérogatoires</t>
  </si>
  <si>
    <t>Retraitement 1 : minoration reprise provision créances groupe</t>
  </si>
  <si>
    <t>Retraitement 2 : explication ?</t>
  </si>
  <si>
    <t>Dotations aux provisions / immobilisations</t>
  </si>
  <si>
    <t>Une saisie directe peut-être nécessaire. Le montant renseigné ici dépend du feuillet 2056. S'il n'est pas renseigné correctement ce montant peut donc être erroné. (il n'est pas obligatoire de renseigner le 2056 pour cet usage si vous n'en avez pas d'autre utilisation, notamment en période intermédiare)</t>
  </si>
  <si>
    <t>Dotations aux provisions pour risques et charges</t>
  </si>
  <si>
    <t>Dotations aux provisions pour risques et charges fi</t>
  </si>
  <si>
    <t>Variation de changes</t>
  </si>
  <si>
    <t>Retraitement 1 : minoration dotation provision créances groupe</t>
  </si>
  <si>
    <t>Dotations provisions ( sauf actif circu. )</t>
  </si>
  <si>
    <t>Reprises de provisions / immobilisations</t>
  </si>
  <si>
    <t>Reprises de provisions pour risques et charges</t>
  </si>
  <si>
    <t>Reprise de provision / titres participations et autres participations fi</t>
  </si>
  <si>
    <t>proposition montant variation débit 495100 ?</t>
  </si>
  <si>
    <r>
      <t xml:space="preserve">Retraitement 2 : </t>
    </r>
    <r>
      <rPr>
        <i/>
        <sz val="11"/>
        <rFont val="Arial"/>
        <family val="2"/>
      </rPr>
      <t>(explication)</t>
    </r>
  </si>
  <si>
    <t>Reprises provisions ( sauf actif circulant )</t>
  </si>
  <si>
    <t>Provisions variation nette</t>
  </si>
  <si>
    <t>Amortissements et provisions ( dotation ou reprise nette )</t>
  </si>
  <si>
    <t>Intervalle de comptes</t>
  </si>
  <si>
    <t>Quote-part de subvention virée au résultat</t>
  </si>
  <si>
    <t>exclusion du compte</t>
  </si>
  <si>
    <t>compte lié au couverture de change</t>
  </si>
  <si>
    <t>Prix de cession des immobilisations ( ne pas remplir )</t>
  </si>
  <si>
    <t>formule cpt 756, 7751, 7752,7756 et 7758</t>
  </si>
  <si>
    <t>Valeur nette comptable des immobilisations cédées</t>
  </si>
  <si>
    <t>formule cpt 656, 6751, 6752,6756 et 6758</t>
  </si>
  <si>
    <t>Plus ou Moins-Values sur cessions d'immobilisations</t>
  </si>
  <si>
    <t>CAF</t>
  </si>
  <si>
    <t>(Toutes les rubriques ci-dessous interrogent des cellules du feuillet 2050  : aucune saisie nécessaire sauf retraitement)</t>
  </si>
  <si>
    <r>
      <t>Stocks (</t>
    </r>
    <r>
      <rPr>
        <i/>
        <sz val="11"/>
        <rFont val="Arial"/>
        <family val="2"/>
      </rPr>
      <t>poste liasse feuillet 2050</t>
    </r>
    <r>
      <rPr>
        <sz val="11"/>
        <rFont val="Arial"/>
        <family val="2"/>
      </rPr>
      <t>)</t>
    </r>
  </si>
  <si>
    <t xml:space="preserve">Stocks nets </t>
  </si>
  <si>
    <t>Créances d'exploitation nettes (clients et autres créances)</t>
  </si>
  <si>
    <t>Créances diverses nettes</t>
  </si>
  <si>
    <t>Charges constatées d'avance</t>
  </si>
  <si>
    <t xml:space="preserve">Reclassement variation de change </t>
  </si>
  <si>
    <t xml:space="preserve">Ecart de conversion actif </t>
  </si>
  <si>
    <t>(Toutes les rubriques ci-dessous interrogent des cellules du feuillet 2051 : aucune saisie nécessaire sauf retraitement)</t>
  </si>
  <si>
    <t xml:space="preserve">Dettes fournisseurs </t>
  </si>
  <si>
    <t xml:space="preserve">Dettes fiscales et sociales </t>
  </si>
  <si>
    <t xml:space="preserve">Dettes diverses </t>
  </si>
  <si>
    <t xml:space="preserve">Produits constatés d'avance </t>
  </si>
  <si>
    <t xml:space="preserve">Ecart de conversion passif </t>
  </si>
  <si>
    <t>Transfert de charges au compte de charges à répartir</t>
  </si>
  <si>
    <t>?</t>
  </si>
  <si>
    <t>(Toutes les rubriques ci-dessous interrogent des cellules du feuillet 2050 ou 2051)</t>
  </si>
  <si>
    <t>Avances et acomptes versés / commandes</t>
  </si>
  <si>
    <t xml:space="preserve">Avances et acomptes reçus / commandes </t>
  </si>
  <si>
    <t>Avances nettes en provenance des tiers</t>
  </si>
  <si>
    <t>Variations du besoin en fond de roulement</t>
  </si>
  <si>
    <t>FLUX TRESORERIE PROVENANCE EXPLOITATION</t>
  </si>
  <si>
    <t>OPERATIONS D'INVESTISSEMENT</t>
  </si>
  <si>
    <t>(Toutes les rubriques ci-dessous interrogent des cellules du feuillet 2054) à défaut les montants peuvent être saisis à la place de la formule.</t>
  </si>
  <si>
    <t>Augmentations des immobilisations corp. et incorp.</t>
  </si>
  <si>
    <t>Une saisie directe peut-être nécessaire. Le montant renseigné ici dépend du feuillet 2054. S'il n'est pas renseigné correctement ce montant peut donc être erroné. (il n'est pas obligatoire de renseigner le 2054 pour cet usage si vous n'en avez pas d'autre utilisation, notamment en période intermédiare)</t>
  </si>
  <si>
    <t>Retraitement (ex: diminution par virement de poste associé)</t>
  </si>
  <si>
    <t>Le retrraitement peut aussi être utilisé si le montant renseigné automatiquement n'est pas correct. (cf information ci-dessus)</t>
  </si>
  <si>
    <t>Produits de cession d'immos corporelles et incorp.</t>
  </si>
  <si>
    <r>
      <t xml:space="preserve">formule cpt 756, 7751, 7752 et 7758 </t>
    </r>
    <r>
      <rPr>
        <sz val="11"/>
        <color rgb="FFFF0000"/>
        <rFont val="Calibri"/>
        <family val="2"/>
      </rPr>
      <t>(hors 756000)</t>
    </r>
  </si>
  <si>
    <t>Acquisitions de participations financières (Liasse, 2054 rubrique LS)</t>
  </si>
  <si>
    <t>Une saisie directe peut-être nécessaire. Le montant renseigné ici dépend du feuillet 2054. S'il n'est pas renseingé correctement ce montant peut don être erroné.</t>
  </si>
  <si>
    <t>saisie</t>
  </si>
  <si>
    <t>Acquisitions de participations financières</t>
  </si>
  <si>
    <t>Produits de cession de participations financières (Balance : cpte 7756)</t>
  </si>
  <si>
    <t>formule cpt 7756</t>
  </si>
  <si>
    <t>Produits de cession de participations financières</t>
  </si>
  <si>
    <t>(Toutes les rubriques ci-dessous interrogent des cellules du feuillet 2051)</t>
  </si>
  <si>
    <t>Dettes sur immobilisations (Liasse, 2051 Rubrique DZ)</t>
  </si>
  <si>
    <t>Dettes sur immobilisations</t>
  </si>
  <si>
    <t>(Toutes les rubriques ci-dessous interrogent des cellules du feuillet 2050)</t>
  </si>
  <si>
    <t>Créances rattachées à des participations</t>
  </si>
  <si>
    <t>Reclassement de la variation de change des emprunts qui couvre les prêts (on fait abstraction des titres détenus par BY CN)</t>
  </si>
  <si>
    <t>Prêts</t>
  </si>
  <si>
    <t>Dépôts et cautionnements (et autre immo fi)</t>
  </si>
  <si>
    <t>Autres titres immobilises</t>
  </si>
  <si>
    <t>Autres immobilisations financières</t>
  </si>
  <si>
    <t>TRESORERIE AFFECTEE AUX INVESTISSEMENTS</t>
  </si>
  <si>
    <t>variation nette des capitaux propres</t>
  </si>
  <si>
    <t>Capital par apports en numéraire</t>
  </si>
  <si>
    <t>Capital par apports en nature</t>
  </si>
  <si>
    <t>Subventions accordées au cours de l'exercice</t>
  </si>
  <si>
    <t>Autres variations ( hors résultat et affectation de résultat )</t>
  </si>
  <si>
    <t>inclure provision règlementée ?</t>
  </si>
  <si>
    <r>
      <t xml:space="preserve">Variation nette </t>
    </r>
    <r>
      <rPr>
        <b/>
        <sz val="11"/>
        <color rgb="FFFF0000"/>
        <rFont val="Arial"/>
        <family val="2"/>
      </rPr>
      <t xml:space="preserve">Augmentation </t>
    </r>
    <r>
      <rPr>
        <b/>
        <sz val="11"/>
        <rFont val="Arial"/>
        <family val="2"/>
      </rPr>
      <t>des capitaux propres</t>
    </r>
  </si>
  <si>
    <t>(Obsolète)</t>
  </si>
  <si>
    <t>Réduction des capitaux</t>
  </si>
  <si>
    <t>Autres variations ( hors résultat et affectation des résultats )</t>
  </si>
  <si>
    <t>Diminution des capitaux propres ( hors résultat et dividendes )</t>
  </si>
  <si>
    <t>intérêt de stipuler la réduction de manière distincte</t>
  </si>
  <si>
    <t>comme pour capitaux propres =&gt; variation nette ?</t>
  </si>
  <si>
    <t>Augmentation des dettes financières (brute)</t>
  </si>
  <si>
    <t>Retraitement</t>
  </si>
  <si>
    <r>
      <t xml:space="preserve">Variation nette </t>
    </r>
    <r>
      <rPr>
        <b/>
        <sz val="11"/>
        <color rgb="FFFF0000"/>
        <rFont val="Arial"/>
        <family val="2"/>
      </rPr>
      <t>Augmentation</t>
    </r>
    <r>
      <rPr>
        <b/>
        <sz val="11"/>
        <rFont val="Arial"/>
        <family val="2"/>
      </rPr>
      <t xml:space="preserve"> des dettes financières</t>
    </r>
  </si>
  <si>
    <t>Diminution des dettes financières</t>
  </si>
  <si>
    <t>interet de stipuler la réduction de manière distincte</t>
  </si>
  <si>
    <t>(Montant par reprise de la rubrique 2058C ou saisie à la place de la formule)</t>
  </si>
  <si>
    <t>reprend les rubriques du 2058C (si renseigné)</t>
  </si>
  <si>
    <t>Dividendes mis en paiement</t>
  </si>
  <si>
    <t>sinon il sufit de saisir directement le montant dans la zone</t>
  </si>
  <si>
    <t>TRESORERIE RESULTANT DU FINANCEMENT</t>
  </si>
  <si>
    <t>CONTROLE</t>
  </si>
  <si>
    <t xml:space="preserve">VMP </t>
  </si>
  <si>
    <t>Disponibilités  à remplir</t>
  </si>
  <si>
    <t xml:space="preserve">Concours bancaires courants </t>
  </si>
  <si>
    <t>Trésorerie nette</t>
  </si>
  <si>
    <t>Variation de la trésorerie nette</t>
  </si>
  <si>
    <t>Variation de la trésorerie nette calculée</t>
  </si>
  <si>
    <t>Ecart</t>
  </si>
  <si>
    <t>=+FISCA("2058C_ZE")+FISCA("2058C_ZF")</t>
  </si>
  <si>
    <t>E180</t>
  </si>
  <si>
    <t>Limited Company</t>
  </si>
  <si>
    <t>Limited Company (Société par actions simplifiée)</t>
  </si>
  <si>
    <t>Summary</t>
  </si>
  <si>
    <t>Uncalled Subscribed Capital (I)</t>
  </si>
  <si>
    <t>Concessions, patents &amp; similar rights</t>
  </si>
  <si>
    <t>Commercial goodwill (1)</t>
  </si>
  <si>
    <t>Other intangible assets</t>
  </si>
  <si>
    <t>Advances and down-payments</t>
  </si>
  <si>
    <t>Intangible assets</t>
  </si>
  <si>
    <t>Land</t>
  </si>
  <si>
    <t>Buildings</t>
  </si>
  <si>
    <t>Fixtures, fittings, equipment and tooling</t>
  </si>
  <si>
    <t>Other tangible fixed assets</t>
  </si>
  <si>
    <t>Fixed assets in progress</t>
  </si>
  <si>
    <t>Tangible Fixed assets</t>
  </si>
  <si>
    <t>Subsidiaries and affiliates</t>
  </si>
  <si>
    <t>Loans &amp; adv. to subsidiaries &amp; affiliates (2)</t>
  </si>
  <si>
    <t>Other long-term securities</t>
  </si>
  <si>
    <t>Loans (2)</t>
  </si>
  <si>
    <t>Other long-term investments (2)</t>
  </si>
  <si>
    <t>Long-term investments</t>
  </si>
  <si>
    <t>Total Fixed Assets (II)</t>
  </si>
  <si>
    <t>Raw materials and supplies</t>
  </si>
  <si>
    <t>Goods in process</t>
  </si>
  <si>
    <t>Inventories</t>
  </si>
  <si>
    <t>Prepayments</t>
  </si>
  <si>
    <t>Trade receivables (3)</t>
  </si>
  <si>
    <t>Other operating receivables (3)</t>
  </si>
  <si>
    <t>Operating receivables</t>
  </si>
  <si>
    <t>Sundry Receivables (3)</t>
  </si>
  <si>
    <t>Total Receivables</t>
  </si>
  <si>
    <t>Short-term investment securities</t>
  </si>
  <si>
    <t>Cash and Cash equivalents</t>
  </si>
  <si>
    <t>Total Cash and cash equivalents</t>
  </si>
  <si>
    <t>Prepaid expenses (3)</t>
  </si>
  <si>
    <t>Total Current Assets (III)</t>
  </si>
  <si>
    <t>Expenses to be amortised over several periods (3)</t>
  </si>
  <si>
    <t>Bond redemption premium (3)</t>
  </si>
  <si>
    <t>Unrealised foreign exchange losses</t>
  </si>
  <si>
    <t>GRAND TOTAL</t>
  </si>
  <si>
    <t>(1) of which leasehold rights</t>
  </si>
  <si>
    <t>(2) of which due in less than one year</t>
  </si>
  <si>
    <t>(3) of which due in more than one year</t>
  </si>
  <si>
    <t>Gross</t>
  </si>
  <si>
    <t>Depreciation, amortisation and provisions</t>
  </si>
  <si>
    <t>LIABILITIES AND EQUITY</t>
  </si>
  <si>
    <t>Authorised capital (1)</t>
  </si>
  <si>
    <t>Share premium account</t>
  </si>
  <si>
    <t xml:space="preserve">Revaluation reserve </t>
  </si>
  <si>
    <t>Legal reserve (2)</t>
  </si>
  <si>
    <t>Statutory or contractual reserves</t>
  </si>
  <si>
    <t>Regulated reserves (2)</t>
  </si>
  <si>
    <t>Other reserves</t>
  </si>
  <si>
    <t>Retained earnings</t>
  </si>
  <si>
    <t>EARNINGS FOR THE YEAR</t>
  </si>
  <si>
    <t>Interim dividends</t>
  </si>
  <si>
    <t>Investment grants</t>
  </si>
  <si>
    <t>Regulated provisions</t>
  </si>
  <si>
    <t>Total Equity (I)</t>
  </si>
  <si>
    <t>pas de traduction GB ligne à masquer</t>
  </si>
  <si>
    <t>Provisions for risks</t>
  </si>
  <si>
    <t>Provisions for expenses</t>
  </si>
  <si>
    <t>Total provisions for risks and expenses (II)</t>
  </si>
  <si>
    <t>Convertible bonds</t>
  </si>
  <si>
    <t>Other bonds</t>
  </si>
  <si>
    <t>Bank loans, borrowings</t>
  </si>
  <si>
    <t>Other financial liabilities</t>
  </si>
  <si>
    <t>Total Financial liabilities (3)</t>
  </si>
  <si>
    <t>Advances and downpayments received on contracts</t>
  </si>
  <si>
    <t>Trade payables</t>
  </si>
  <si>
    <t>Payable to governments, employees, social security and other</t>
  </si>
  <si>
    <t>Other operating payables</t>
  </si>
  <si>
    <t>Operating liabilities</t>
  </si>
  <si>
    <t>Payable to suppliers of fixed assets</t>
  </si>
  <si>
    <t>Non-operating tax liabilities</t>
  </si>
  <si>
    <t>Sundry liabilities</t>
  </si>
  <si>
    <t>Total other liabilities</t>
  </si>
  <si>
    <t>Total operating liabilities (3)</t>
  </si>
  <si>
    <t>Short- term bank borrowings (3)</t>
  </si>
  <si>
    <t>Deferred incomes (3)</t>
  </si>
  <si>
    <t>Total liabilities (III)</t>
  </si>
  <si>
    <t>Unrealised foreign exchange gains</t>
  </si>
  <si>
    <t>(1) of which revaluation adjustment included in authorised capital</t>
  </si>
  <si>
    <t>(2) of which regulated reserve for long-term capital gains</t>
  </si>
  <si>
    <t>(3) of which due in less than one year</t>
  </si>
  <si>
    <t>Abroad</t>
  </si>
  <si>
    <t>Sales of goods</t>
  </si>
  <si>
    <t>Production sold</t>
  </si>
  <si>
    <t>Production stocked</t>
  </si>
  <si>
    <t>Turnover</t>
  </si>
  <si>
    <t>Production of fixed assets for own use</t>
  </si>
  <si>
    <t>Operating grants</t>
  </si>
  <si>
    <t>Release of depreciation, amortisation and provisions</t>
  </si>
  <si>
    <t>Expense transfers</t>
  </si>
  <si>
    <t>Other operating revenue</t>
  </si>
  <si>
    <t>TOTAL OPERATING REVENUE (I)</t>
  </si>
  <si>
    <t>Purchases of goods</t>
  </si>
  <si>
    <t>Stock variations</t>
  </si>
  <si>
    <t>Purchases of raw materials and other supplies</t>
  </si>
  <si>
    <t>Other purchases and external expenses</t>
  </si>
  <si>
    <t>Total external expenses</t>
  </si>
  <si>
    <t>Taxes, duties and similar payments withheld</t>
  </si>
  <si>
    <t>Other taxes and duties</t>
  </si>
  <si>
    <t>Taxes, duties and similar payments</t>
  </si>
  <si>
    <t>Wages and salaries</t>
  </si>
  <si>
    <t>Social security and other benefits</t>
  </si>
  <si>
    <t>Staff costs</t>
  </si>
  <si>
    <t>Depreciation and amortisation of fixed assets and expenses to be amortised</t>
  </si>
  <si>
    <t>Provisions on fixed assets</t>
  </si>
  <si>
    <t>Provisions on current assets</t>
  </si>
  <si>
    <t>Provisions for risks and expenses</t>
  </si>
  <si>
    <t>Other operating expenses</t>
  </si>
  <si>
    <t>TOTAL OPERATING EXPENSES (II)</t>
  </si>
  <si>
    <t>Unincorporated joint ventures: profit attributed or loss transferred (III)</t>
  </si>
  <si>
    <t>Unincorporated joint ventures: loss borne or profit transferred (IV)</t>
  </si>
  <si>
    <t>NET OPERATING RESULT</t>
  </si>
  <si>
    <t>Income from subsidiaries and affiliates (1)</t>
  </si>
  <si>
    <t>Income from other long-term investments (1)</t>
  </si>
  <si>
    <t>Other interest and related income (1)</t>
  </si>
  <si>
    <t>Reversal of provisions and expense transfers</t>
  </si>
  <si>
    <t>Exchange gains</t>
  </si>
  <si>
    <t>Net proceeds of disposals of short-term investment securities</t>
  </si>
  <si>
    <t>TOTAL FINANCIAL INCOME (V)</t>
  </si>
  <si>
    <t>Amortisation and provisions on financial items</t>
  </si>
  <si>
    <t>Interest and similar charges (2)</t>
  </si>
  <si>
    <t>Exchange losses</t>
  </si>
  <si>
    <t>Net loss on disposals of short-term investment securities</t>
  </si>
  <si>
    <t>Transfers of financial income on long-term contracts</t>
  </si>
  <si>
    <t>TOTAL FINANCIAL EXPENSES (VI)</t>
  </si>
  <si>
    <t>NET FINANCIAL RESULT</t>
  </si>
  <si>
    <t>CURRENT RESULT BEFORE TAX (I-II+III-IV+V-VI)</t>
  </si>
  <si>
    <t>Exceptional income on operating transactions</t>
  </si>
  <si>
    <t>Exceptional income on capital transactions</t>
  </si>
  <si>
    <t>TOTAL EXCEPTIONAL INCOMES (VII)</t>
  </si>
  <si>
    <t>Exceptional expenses on operating transactions</t>
  </si>
  <si>
    <t>Exceptional expenses on capital transactions</t>
  </si>
  <si>
    <t>Exceptional depreciation, amortisation and provisions</t>
  </si>
  <si>
    <t>TOTAL EXCEPTIONAL EXPENSES (VIII)</t>
  </si>
  <si>
    <t>NET EXCEPTIONAL RESULT (VII -VIII)</t>
  </si>
  <si>
    <t>Employee profit-sharing(IX)</t>
  </si>
  <si>
    <t>Corporate Income tax (X)</t>
  </si>
  <si>
    <t>TOTAL INCOMES (I + III + V + VII)</t>
  </si>
  <si>
    <t>TOTAL EXPENSES (II + IV + VI + VIII + IX + X)</t>
  </si>
  <si>
    <t>PROFIT OR (LOSSES) (total incomes - total expenses)</t>
  </si>
  <si>
    <t>(1) of which income relating to affiliated companies</t>
  </si>
  <si>
    <t>(2) of which interest relating to affiliated companies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</si>
</sst>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0\ &quot;€&quot;_-;\-* #,##0\ &quot;€&quot;_-;_-* &quot;-&quot;\ &quot;€&quot;_-;_-@_-"/>
    <numFmt numFmtId="44" formatCode="_-* #,##0.00\ &quot;€&quot;_-;\-* #,##0.00\ &quot;€&quot;_-;_-* &quot;-&quot;??\ &quot;€&quot;_-;_-@_-"/>
    <numFmt numFmtId="164" formatCode="#,##0.00_);\(#,##0.00\);&quot;&quot;_)"/>
    <numFmt numFmtId="165" formatCode="#,##0.00_);\(#,##0.00\)"/>
    <numFmt numFmtId="166" formatCode="_-* #,##0.00\ _€_-;\-* #,##0.00\ _€_-;_-* &quot;-&quot;??\ _€_-;_-@_-"/>
    <numFmt numFmtId="167" formatCode="###\ ###\ ###.00"/>
    <numFmt numFmtId="168" formatCode="_-* #,##0\ _€_-;\-* #,##0\ _€_-;_-* &quot;-&quot;\ _€_-;_-@_-"/>
  </numFmts>
  <fonts count="87" x14ac:knownFonts="1">
    <font>
      <sz val="11"/>
      <color rgb="FF000000"/>
      <name val="Calibri"/>
      <family val="2"/>
      <scheme val="minor"/>
    </font>
    <font>
      <sz val="11"/>
      <color theme="1"/>
      <name val="Arial"/>
      <family val="2"/>
    </font>
    <font>
      <sz val="11"/>
      <color rgb="FF000000"/>
      <name val="Arial"/>
      <family val="2"/>
    </font>
    <font>
      <sz val="11"/>
      <color rgb="FF000000"/>
      <name val="Calibri"/>
      <family val="2"/>
    </font>
    <font>
      <sz val="11"/>
      <color theme="1"/>
      <name val="Calibri"/>
      <family val="2"/>
    </font>
    <font>
      <sz val="11"/>
      <color rgb="FFFF0000"/>
      <name val="Calibri"/>
      <family val="2"/>
    </font>
    <font>
      <b/>
      <sz val="18"/>
      <color rgb="FF4F81BD"/>
      <name val="Arial"/>
      <family val="2"/>
    </font>
    <font>
      <b/>
      <sz val="14"/>
      <color rgb="FF365F91"/>
      <name val="Arial"/>
      <family val="2"/>
    </font>
    <font>
      <b/>
      <sz val="11"/>
      <color theme="1"/>
      <name val="Arial"/>
      <family val="2"/>
    </font>
    <font>
      <sz val="10"/>
      <color theme="1"/>
      <name val="Arial"/>
      <family val="2"/>
    </font>
    <font>
      <u/>
      <sz val="11"/>
      <color rgb="FF4F81BD"/>
      <name val="Calibri"/>
      <family val="2"/>
      <scheme val="minor"/>
    </font>
    <font>
      <b/>
      <sz val="13"/>
      <color theme="1"/>
      <name val="Arial"/>
      <family val="2"/>
    </font>
    <font>
      <b/>
      <u/>
      <sz val="13"/>
      <color theme="3"/>
      <name val="Arial"/>
      <family val="2"/>
    </font>
    <font>
      <b/>
      <sz val="11"/>
      <name val="Arial"/>
      <family val="2"/>
    </font>
    <font>
      <sz val="10"/>
      <color rgb="FF000000"/>
      <name val="Calibri"/>
      <family val="2"/>
    </font>
    <font>
      <sz val="10"/>
      <color rgb="FF000000"/>
      <name val="Arial"/>
      <family val="2"/>
    </font>
    <font>
      <b/>
      <i/>
      <sz val="11"/>
      <color theme="1"/>
      <name val="Arial"/>
      <family val="2"/>
    </font>
    <font>
      <b/>
      <i/>
      <sz val="10"/>
      <color theme="1"/>
      <name val="Arial"/>
      <family val="2"/>
    </font>
    <font>
      <b/>
      <i/>
      <sz val="10"/>
      <color theme="0"/>
      <name val="Arial"/>
      <family val="2"/>
    </font>
    <font>
      <sz val="10"/>
      <color theme="0"/>
      <name val="Arial"/>
      <family val="2"/>
    </font>
    <font>
      <b/>
      <sz val="10"/>
      <color theme="1"/>
      <name val="Arial"/>
      <family val="2"/>
    </font>
    <font>
      <b/>
      <sz val="10"/>
      <color rgb="FF000000"/>
      <name val="Arial"/>
      <family val="2"/>
    </font>
    <font>
      <i/>
      <sz val="11"/>
      <color theme="1"/>
      <name val="Arial"/>
      <family val="2"/>
    </font>
    <font>
      <sz val="8"/>
      <color rgb="FFFF0000"/>
      <name val="Arial"/>
      <family val="2"/>
    </font>
    <font>
      <sz val="8"/>
      <color theme="1"/>
      <name val="Arial"/>
      <family val="2"/>
    </font>
    <font>
      <sz val="11"/>
      <color rgb="FFFF0000"/>
      <name val="Arial"/>
      <family val="2"/>
    </font>
    <font>
      <b/>
      <sz val="13"/>
      <color theme="1"/>
      <name val="Calibri"/>
      <family val="2"/>
    </font>
    <font>
      <b/>
      <sz val="13"/>
      <color theme="3"/>
      <name val="Calibri"/>
      <family val="2"/>
    </font>
    <font>
      <b/>
      <sz val="13"/>
      <color theme="3"/>
      <name val="Arial"/>
      <family val="2"/>
    </font>
    <font>
      <b/>
      <sz val="10"/>
      <name val="Arial"/>
      <family val="2"/>
    </font>
    <font>
      <b/>
      <sz val="11"/>
      <color rgb="FF000000"/>
      <name val="Arial"/>
      <family val="2"/>
    </font>
    <font>
      <sz val="10"/>
      <color rgb="FF000000"/>
      <name val="Arial"/>
      <family val="1"/>
    </font>
    <font>
      <sz val="11"/>
      <color rgb="FF000000"/>
      <name val="Times New Roman"/>
      <family val="1"/>
    </font>
    <font>
      <sz val="11"/>
      <name val="Calibri"/>
      <family val="2"/>
    </font>
    <font>
      <b/>
      <sz val="13"/>
      <color rgb="FF44546A"/>
      <name val="Arial"/>
      <family val="2"/>
    </font>
    <font>
      <sz val="11"/>
      <color rgb="FF333333"/>
      <name val="Arial"/>
      <family val="2"/>
    </font>
    <font>
      <b/>
      <i/>
      <sz val="11"/>
      <name val="Arial"/>
      <family val="2"/>
    </font>
    <font>
      <b/>
      <i/>
      <sz val="10"/>
      <name val="Arial"/>
      <family val="2"/>
    </font>
    <font>
      <b/>
      <sz val="11"/>
      <color theme="1"/>
      <name val="Calibri"/>
      <family val="2"/>
    </font>
    <font>
      <sz val="11"/>
      <name val="Arial"/>
      <family val="2"/>
    </font>
    <font>
      <i/>
      <sz val="11"/>
      <color theme="1"/>
      <name val="Calibri"/>
      <family val="2"/>
    </font>
    <font>
      <b/>
      <sz val="11"/>
      <color rgb="FF44546A"/>
      <name val="Arial"/>
      <family val="2"/>
    </font>
    <font>
      <b/>
      <sz val="11"/>
      <color theme="3"/>
      <name val="Arial"/>
      <family val="2"/>
    </font>
    <font>
      <b/>
      <i/>
      <sz val="11"/>
      <color rgb="FF44546A"/>
      <name val="Arial"/>
      <family val="2"/>
    </font>
    <font>
      <i/>
      <sz val="11"/>
      <color rgb="FFFF0000"/>
      <name val="Arial"/>
      <family val="2"/>
    </font>
    <font>
      <sz val="11"/>
      <color theme="3"/>
      <name val="Arial"/>
      <family val="2"/>
    </font>
    <font>
      <b/>
      <sz val="11"/>
      <color rgb="FFFF0000"/>
      <name val="Arial"/>
      <family val="2"/>
    </font>
    <font>
      <b/>
      <sz val="11"/>
      <color rgb="FFFF0000"/>
      <name val="Calibri"/>
      <family val="2"/>
    </font>
    <font>
      <i/>
      <sz val="11"/>
      <color rgb="FF00B0F0"/>
      <name val="Arial"/>
      <family val="2"/>
    </font>
    <font>
      <b/>
      <sz val="11"/>
      <color rgb="FF00B0F0"/>
      <name val="Arial"/>
      <family val="2"/>
    </font>
    <font>
      <i/>
      <sz val="11"/>
      <name val="Arial"/>
      <family val="2"/>
    </font>
    <font>
      <b/>
      <sz val="11"/>
      <color rgb="FF44546A"/>
      <name val="Calibri"/>
      <family val="2"/>
    </font>
    <font>
      <b/>
      <sz val="11"/>
      <color theme="3"/>
      <name val="Calibri"/>
      <family val="2"/>
    </font>
    <font>
      <b/>
      <i/>
      <u/>
      <sz val="11"/>
      <name val="Arial"/>
      <family val="2"/>
    </font>
    <font>
      <sz val="11"/>
      <color rgb="FF000000"/>
      <name val="Calibri"/>
      <family val="2"/>
      <scheme val="minor"/>
    </font>
    <font>
      <b/>
      <sz val="18"/>
      <color rgb="FF4F81BD"/>
      <name val="Cambria"/>
      <family val="1"/>
      <scheme val="major"/>
    </font>
    <font>
      <b/>
      <sz val="18"/>
      <color rgb="FF4F81BD"/>
      <name val="Cambria"/>
      <family val="1"/>
      <scheme val="major"/>
    </font>
    <font>
      <b/>
      <sz val="15"/>
      <color rgb="FF44546A"/>
      <name val="Arial"/>
      <family val="2"/>
    </font>
    <font>
      <sz val="9"/>
      <color theme="0"/>
      <name val="Arial"/>
      <family val="2"/>
    </font>
    <font>
      <sz val="9"/>
      <color theme="1"/>
      <name val="Arial"/>
      <family val="2"/>
    </font>
    <font>
      <sz val="11"/>
      <name val="Calibri"/>
      <family val="2"/>
      <scheme val="minor"/>
    </font>
    <font>
      <sz val="10"/>
      <name val="Arial"/>
      <family val="2"/>
    </font>
    <font>
      <sz val="8"/>
      <color rgb="FF000000"/>
      <name val="Arial"/>
      <family val="2"/>
    </font>
    <font>
      <sz val="8"/>
      <color rgb="FFFFFFFF"/>
      <name val="Arial"/>
      <family val="2"/>
    </font>
    <font>
      <sz val="11"/>
      <color rgb="FFFF0000"/>
      <name val="Calibri"/>
      <family val="2"/>
      <scheme val="minor"/>
    </font>
    <font>
      <b/>
      <sz val="15"/>
      <color rgb="FF4F81BD"/>
      <name val="Calibri"/>
      <family val="2"/>
      <scheme val="minor"/>
    </font>
    <font>
      <b/>
      <sz val="13"/>
      <color rgb="FF4F81BD"/>
      <name val="Calibri"/>
      <family val="2"/>
      <scheme val="minor"/>
    </font>
    <font>
      <b/>
      <sz val="11"/>
      <color rgb="FF4F81BD"/>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1"/>
      <color theme="1"/>
      <name val="Calibri"/>
      <family val="2"/>
      <scheme val="minor"/>
    </font>
    <font>
      <i/>
      <sz val="11"/>
      <color rgb="FF7F7F7F"/>
      <name val="Calibri"/>
      <family val="2"/>
      <scheme val="minor"/>
    </font>
    <font>
      <b/>
      <sz val="9"/>
      <color rgb="FFE7E6E6"/>
      <name val="Tahoma"/>
      <family val="2"/>
    </font>
    <font>
      <sz val="8"/>
      <color rgb="FF000000"/>
      <name val="Calibri"/>
      <family val="2"/>
    </font>
    <font>
      <b/>
      <sz val="5"/>
      <color rgb="FF000000"/>
      <name val="Arial"/>
      <family val="2"/>
    </font>
    <font>
      <i/>
      <sz val="8"/>
      <color rgb="FF000000"/>
      <name val="Arial"/>
      <family val="2"/>
    </font>
    <font>
      <b/>
      <i/>
      <sz val="10"/>
      <color rgb="FF000000"/>
      <name val="Arial"/>
      <family val="2"/>
    </font>
    <font>
      <i/>
      <sz val="10"/>
      <color rgb="FF000000"/>
      <name val="Arial"/>
      <family val="2"/>
    </font>
    <font>
      <sz val="10"/>
      <color rgb="FFFF0000"/>
      <name val="Arial"/>
      <family val="2"/>
    </font>
  </fonts>
  <fills count="45">
    <fill>
      <patternFill patternType="none"/>
    </fill>
    <fill>
      <patternFill patternType="gray125"/>
    </fill>
    <fill>
      <patternFill patternType="solid">
        <fgColor rgb="FFEAEAEA"/>
        <bgColor indexed="64"/>
      </patternFill>
    </fill>
    <fill>
      <patternFill patternType="solid">
        <fgColor rgb="FFE7E6E6"/>
        <bgColor indexed="64"/>
      </patternFill>
    </fill>
    <fill>
      <patternFill patternType="none">
        <fgColor rgb="FFFFFFFF"/>
      </patternFill>
    </fill>
    <fill>
      <patternFill patternType="solid">
        <fgColor rgb="FFFFC000"/>
        <bgColor indexed="64"/>
      </patternFill>
    </fill>
    <fill>
      <patternFill patternType="solid">
        <fgColor rgb="FFFFE699" tint="0.59999389629810485"/>
        <bgColor indexed="65"/>
      </patternFill>
    </fill>
    <fill>
      <patternFill patternType="solid">
        <fgColor theme="2"/>
        <bgColor indexed="64"/>
      </patternFill>
    </fill>
    <fill>
      <patternFill patternType="solid">
        <fgColor rgb="FFFF0000"/>
        <bgColor indexed="64"/>
      </patternFill>
    </fill>
    <fill>
      <patternFill patternType="solid">
        <fgColor rgb="FFFFFF99"/>
        <bgColor indexed="64"/>
      </patternFill>
    </fill>
    <fill>
      <patternFill patternType="solid">
        <fgColor rgb="FF5B9BD5"/>
      </patternFill>
    </fill>
    <fill>
      <patternFill patternType="solid">
        <fgColor rgb="FFF8CBAD" tint="0.59999389629810485"/>
        <bgColor indexed="65"/>
      </patternFill>
    </fill>
    <fill>
      <patternFill patternType="solid">
        <fgColor rgb="FFC9C9C9" tint="0.39985351115451523"/>
        <bgColor indexed="65"/>
      </patternFill>
    </fill>
    <fill>
      <patternFill patternType="solid">
        <fgColor rgb="FFBDD7EE" tint="0.59999389629810485"/>
        <bgColor indexed="65"/>
      </patternFill>
    </fill>
    <fill>
      <patternFill patternType="solid">
        <fgColor rgb="FF95B3D7"/>
        <bgColor rgb="FF000000"/>
      </patternFill>
    </fill>
    <fill>
      <patternFill patternType="solid">
        <fgColor rgb="FFD2DEEE"/>
        <bgColor rgb="FF000000"/>
      </patternFill>
    </fill>
    <fill>
      <patternFill patternType="solid">
        <fgColor rgb="FFFFFFCC"/>
      </patternFill>
    </fill>
    <fill>
      <patternFill patternType="solid">
        <fgColor rgb="FFFFCC99"/>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patternFill>
    </fill>
    <fill>
      <patternFill patternType="solid">
        <fgColor theme="4" tint="0.79995117038483843"/>
        <bgColor indexed="65"/>
      </patternFill>
    </fill>
    <fill>
      <patternFill patternType="solid">
        <fgColor theme="4" tint="0.59999389629810485"/>
        <bgColor indexed="65"/>
      </patternFill>
    </fill>
    <fill>
      <patternFill patternType="solid">
        <fgColor theme="4" tint="0.39994506668294322"/>
        <bgColor indexed="65"/>
      </patternFill>
    </fill>
    <fill>
      <patternFill patternType="solid">
        <fgColor rgb="FFFFFF80"/>
      </patternFill>
    </fill>
    <fill>
      <patternFill patternType="solid">
        <fgColor rgb="FFFFFFE6"/>
      </patternFill>
    </fill>
    <fill>
      <patternFill patternType="solid">
        <fgColor rgb="FFFFFFCC"/>
      </patternFill>
    </fill>
    <fill>
      <patternFill patternType="solid">
        <fgColor rgb="FFFFFFB3"/>
      </patternFill>
    </fill>
    <fill>
      <patternFill patternType="solid">
        <fgColor rgb="FF5F5F5F"/>
      </patternFill>
    </fill>
    <fill>
      <patternFill patternType="solid">
        <fgColor rgb="FFDFDFDF"/>
      </patternFill>
    </fill>
    <fill>
      <patternFill patternType="solid">
        <fgColor rgb="FFBFBFBF"/>
      </patternFill>
    </fill>
    <fill>
      <patternFill patternType="solid">
        <fgColor rgb="FF9F9F9F"/>
      </patternFill>
    </fill>
    <fill>
      <patternFill patternType="solid">
        <fgColor rgb="FFFFFFFF"/>
      </patternFill>
    </fill>
    <fill>
      <patternFill patternType="solid">
        <fgColor rgb="FFFFFFFF"/>
      </patternFill>
    </fill>
    <fill>
      <patternFill patternType="solid">
        <fgColor rgb="FF365F91"/>
      </patternFill>
    </fill>
    <fill>
      <patternFill patternType="solid">
        <fgColor rgb="FFD2DEEE"/>
      </patternFill>
    </fill>
    <fill>
      <patternFill patternType="solid">
        <fgColor rgb="FFA4BEDD"/>
      </patternFill>
    </fill>
    <fill>
      <patternFill patternType="solid">
        <fgColor rgb="FF779DCC"/>
      </patternFill>
    </fill>
    <fill>
      <patternFill patternType="solid">
        <fgColor rgb="FF70AD47"/>
      </patternFill>
    </fill>
    <fill>
      <patternFill patternType="solid">
        <fgColor rgb="FFE2F0D9"/>
      </patternFill>
    </fill>
    <fill>
      <patternFill patternType="solid">
        <fgColor rgb="FFC5E0B4"/>
      </patternFill>
    </fill>
    <fill>
      <patternFill patternType="solid">
        <fgColor rgb="FFA9D18E"/>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style="medium">
        <color indexed="64"/>
      </left>
      <right style="medium">
        <color indexed="64"/>
      </right>
      <top/>
      <bottom style="medium">
        <color rgb="FFD8D8D8"/>
      </bottom>
      <diagonal/>
    </border>
    <border>
      <left/>
      <right style="medium">
        <color rgb="FF000000"/>
      </right>
      <top/>
      <bottom style="medium">
        <color rgb="FFD8D8D8"/>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style="thin">
        <color auto="1"/>
      </left>
      <right/>
      <top/>
      <bottom/>
      <diagonal/>
    </border>
    <border>
      <left/>
      <right style="thin">
        <color indexed="64"/>
      </right>
      <top/>
      <bottom/>
      <diagonal/>
    </border>
    <border>
      <left style="thin">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double">
        <color indexed="64"/>
      </bottom>
      <diagonal/>
    </border>
    <border>
      <left/>
      <right style="thin">
        <color indexed="64"/>
      </right>
      <top/>
      <bottom style="double">
        <color indexed="64"/>
      </bottom>
      <diagonal/>
    </border>
    <border>
      <left style="thin">
        <color auto="1"/>
      </left>
      <right style="thin">
        <color auto="1"/>
      </right>
      <top/>
      <bottom/>
      <diagonal/>
    </border>
    <border>
      <left/>
      <right/>
      <top/>
      <bottom style="thick">
        <color rgb="FF4472C4"/>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450666829432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3">
    <xf numFmtId="0" fontId="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5" fillId="0" borderId="0" applyNumberFormat="0" applyFill="0" applyBorder="0" applyAlignment="0" applyProtection="0"/>
    <xf numFmtId="0" fontId="56" fillId="0" borderId="0" applyNumberFormat="0" applyFill="0" applyBorder="0" applyAlignment="0" applyProtection="0"/>
    <xf numFmtId="0" fontId="10" fillId="0" borderId="0" applyNumberFormat="0" applyFill="0" applyBorder="0" applyAlignment="0" applyProtection="0"/>
    <xf numFmtId="0" fontId="57" fillId="0" borderId="20" applyNumberFormat="0" applyFill="0" applyAlignment="0" applyProtection="0"/>
    <xf numFmtId="0" fontId="58" fillId="10" borderId="0" applyNumberFormat="0" applyBorder="0" applyAlignment="0" applyProtection="0"/>
    <xf numFmtId="0" fontId="59" fillId="11" borderId="0" applyNumberFormat="0" applyBorder="0" applyAlignment="0" applyProtection="0"/>
    <xf numFmtId="0" fontId="58" fillId="12" borderId="0" applyNumberFormat="0" applyBorder="0" applyAlignment="0" applyProtection="0"/>
    <xf numFmtId="0" fontId="59" fillId="13" borderId="0" applyNumberFormat="0" applyBorder="0" applyAlignment="0" applyProtection="0"/>
    <xf numFmtId="0" fontId="59" fillId="6" borderId="0" applyNumberFormat="0" applyBorder="0" applyAlignment="0" applyProtection="0"/>
    <xf numFmtId="0" fontId="60" fillId="4" borderId="0"/>
    <xf numFmtId="0" fontId="57" fillId="0" borderId="20" applyNumberFormat="0" applyFill="0" applyAlignment="0" applyProtection="0"/>
    <xf numFmtId="0" fontId="58" fillId="10" borderId="0" applyNumberFormat="0" applyBorder="0" applyAlignment="0" applyProtection="0"/>
    <xf numFmtId="0" fontId="59" fillId="11" borderId="0" applyNumberFormat="0" applyBorder="0" applyAlignment="0" applyProtection="0"/>
    <xf numFmtId="0" fontId="59" fillId="13" borderId="0" applyNumberFormat="0" applyBorder="0" applyAlignment="0" applyProtection="0"/>
    <xf numFmtId="0" fontId="60" fillId="4" borderId="0"/>
    <xf numFmtId="0" fontId="59" fillId="6" borderId="0" applyNumberFormat="0" applyBorder="0" applyAlignment="0" applyProtection="0"/>
    <xf numFmtId="0" fontId="54" fillId="0" borderId="0"/>
    <xf numFmtId="0" fontId="54" fillId="0" borderId="0"/>
    <xf numFmtId="0" fontId="61" fillId="0" borderId="0"/>
    <xf numFmtId="49" fontId="62" fillId="0" borderId="21" applyProtection="0">
      <alignment horizontal="right" vertical="center" indent="1"/>
    </xf>
    <xf numFmtId="4" fontId="62" fillId="0" borderId="21" applyProtection="0">
      <alignment horizontal="right" vertical="center"/>
    </xf>
    <xf numFmtId="49" fontId="62" fillId="0" borderId="21" applyProtection="0">
      <alignment horizontal="left" vertical="center"/>
    </xf>
    <xf numFmtId="10" fontId="62" fillId="0" borderId="21">
      <alignment vertical="center"/>
    </xf>
    <xf numFmtId="0" fontId="63" fillId="14" borderId="22">
      <alignment horizontal="center" vertical="center"/>
      <protection locked="0"/>
    </xf>
    <xf numFmtId="4" fontId="62" fillId="15" borderId="21" applyProtection="0">
      <alignment horizontal="right" vertical="center"/>
    </xf>
    <xf numFmtId="4" fontId="62" fillId="15" borderId="21" applyProtection="0">
      <alignment horizontal="left" vertical="center"/>
    </xf>
    <xf numFmtId="10" fontId="62" fillId="15" borderId="21" applyProtection="0">
      <alignment vertical="center"/>
    </xf>
    <xf numFmtId="166" fontId="54" fillId="0" borderId="0" applyFont="0" applyFill="0" applyBorder="0" applyAlignment="0" applyProtection="0"/>
    <xf numFmtId="0" fontId="10" fillId="0" borderId="0" applyNumberFormat="0" applyFill="0" applyBorder="0" applyAlignment="0" applyProtection="0"/>
    <xf numFmtId="166" fontId="54" fillId="0" borderId="0" applyFont="0" applyFill="0" applyBorder="0" applyAlignment="0" applyProtection="0"/>
    <xf numFmtId="44" fontId="54" fillId="0" borderId="0" applyFont="0" applyFill="0" applyBorder="0" applyAlignment="0" applyProtection="0"/>
    <xf numFmtId="9" fontId="54" fillId="0" borderId="0" applyFont="0" applyFill="0" applyBorder="0" applyAlignment="0" applyProtection="0"/>
    <xf numFmtId="168" fontId="54" fillId="0" borderId="0" applyFont="0" applyFill="0" applyBorder="0" applyAlignment="0" applyProtection="0"/>
    <xf numFmtId="42" fontId="54" fillId="0" borderId="0" applyFont="0" applyFill="0" applyBorder="0" applyAlignment="0" applyProtection="0"/>
    <xf numFmtId="0" fontId="10" fillId="0" borderId="0" applyNumberFormat="0" applyFill="0" applyBorder="0" applyAlignment="0" applyProtection="0"/>
    <xf numFmtId="0" fontId="54" fillId="16" borderId="23" applyNumberFormat="0" applyFont="0" applyAlignment="0" applyProtection="0"/>
    <xf numFmtId="0" fontId="64" fillId="0" borderId="0" applyNumberFormat="0" applyFill="0" applyBorder="0" applyAlignment="0" applyProtection="0"/>
    <xf numFmtId="0" fontId="65" fillId="0" borderId="24" applyNumberFormat="0" applyFill="0" applyAlignment="0" applyProtection="0"/>
    <xf numFmtId="0" fontId="66" fillId="0" borderId="25" applyNumberFormat="0" applyFill="0" applyAlignment="0" applyProtection="0"/>
    <xf numFmtId="0" fontId="67" fillId="0" borderId="26" applyNumberFormat="0" applyFill="0" applyAlignment="0" applyProtection="0"/>
    <xf numFmtId="0" fontId="67" fillId="0" borderId="0" applyNumberFormat="0" applyFill="0" applyBorder="0" applyAlignment="0" applyProtection="0"/>
    <xf numFmtId="0" fontId="68" fillId="17" borderId="27" applyNumberFormat="0" applyAlignment="0" applyProtection="0"/>
    <xf numFmtId="0" fontId="69" fillId="18" borderId="28" applyNumberFormat="0" applyAlignment="0" applyProtection="0"/>
    <xf numFmtId="0" fontId="70" fillId="18" borderId="27" applyNumberFormat="0" applyAlignment="0" applyProtection="0"/>
    <xf numFmtId="0" fontId="71" fillId="19" borderId="29" applyNumberFormat="0" applyAlignment="0" applyProtection="0"/>
    <xf numFmtId="0" fontId="72" fillId="0" borderId="30" applyNumberFormat="0" applyFill="0" applyAlignment="0" applyProtection="0"/>
    <xf numFmtId="0" fontId="73" fillId="0" borderId="31" applyNumberFormat="0" applyFill="0" applyAlignment="0" applyProtection="0"/>
    <xf numFmtId="0" fontId="74" fillId="20" borderId="0" applyNumberFormat="0" applyBorder="0" applyAlignment="0" applyProtection="0"/>
    <xf numFmtId="0" fontId="75" fillId="21" borderId="0" applyNumberFormat="0" applyBorder="0" applyAlignment="0" applyProtection="0"/>
    <xf numFmtId="0" fontId="76" fillId="22" borderId="0" applyNumberFormat="0" applyBorder="0" applyAlignment="0" applyProtection="0"/>
    <xf numFmtId="0" fontId="77" fillId="23"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8" fillId="36" borderId="0" applyNumberFormat="0" applyBorder="0" applyAlignment="0" applyProtection="0"/>
    <xf numFmtId="0" fontId="78"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8" fillId="38" borderId="0" applyNumberFormat="0" applyBorder="0" applyAlignment="0" applyProtection="0"/>
    <xf numFmtId="0" fontId="78" fillId="39" borderId="0" applyNumberFormat="0" applyBorder="0" applyAlignment="0" applyProtection="0"/>
    <xf numFmtId="0" fontId="77" fillId="40" borderId="0" applyNumberFormat="0" applyBorder="0" applyAlignment="0" applyProtection="0"/>
    <xf numFmtId="0" fontId="77" fillId="41" borderId="0" applyNumberFormat="0" applyBorder="0" applyAlignment="0" applyProtection="0"/>
    <xf numFmtId="0" fontId="78" fillId="42" borderId="0" applyNumberFormat="0" applyBorder="0" applyAlignment="0" applyProtection="0"/>
    <xf numFmtId="0" fontId="78" fillId="43" borderId="0" applyNumberFormat="0" applyBorder="0" applyAlignment="0" applyProtection="0"/>
    <xf numFmtId="0" fontId="77" fillId="44" borderId="0" applyNumberFormat="0" applyBorder="0" applyAlignment="0" applyProtection="0"/>
    <xf numFmtId="0" fontId="79" fillId="0" borderId="0" applyNumberFormat="0" applyFill="0" applyBorder="0" applyAlignment="0" applyProtection="0"/>
  </cellStyleXfs>
  <cellXfs count="311">
    <xf numFmtId="0" fontId="0" fillId="0" borderId="0" xfId="0"/>
    <xf numFmtId="0" fontId="1" fillId="0" borderId="0" xfId="1" applyFont="1"/>
    <xf numFmtId="0" fontId="1" fillId="0" borderId="0" xfId="0" applyFont="1"/>
    <xf numFmtId="0" fontId="2" fillId="0" borderId="0" xfId="2" applyFont="1"/>
    <xf numFmtId="0" fontId="3" fillId="0" borderId="0" xfId="3" applyFont="1"/>
    <xf numFmtId="0" fontId="1" fillId="0" borderId="0" xfId="2" applyFont="1"/>
    <xf numFmtId="0" fontId="4" fillId="0" borderId="0" xfId="4" applyFont="1"/>
    <xf numFmtId="0" fontId="3" fillId="0" borderId="0" xfId="4" applyFont="1"/>
    <xf numFmtId="0" fontId="3" fillId="0" borderId="0" xfId="5" applyFont="1"/>
    <xf numFmtId="0" fontId="5" fillId="0" borderId="0" xfId="4" applyFont="1"/>
    <xf numFmtId="0" fontId="4" fillId="0" borderId="0" xfId="6" applyFont="1"/>
    <xf numFmtId="0" fontId="2" fillId="0" borderId="0" xfId="6" applyFont="1"/>
    <xf numFmtId="0" fontId="4" fillId="0" borderId="0" xfId="7" applyFont="1"/>
    <xf numFmtId="0" fontId="2" fillId="0" borderId="0" xfId="1" applyFont="1"/>
    <xf numFmtId="0" fontId="1" fillId="2" borderId="0" xfId="1" applyFont="1" applyFill="1"/>
    <xf numFmtId="0" fontId="1" fillId="3" borderId="0" xfId="1" applyFont="1" applyFill="1"/>
    <xf numFmtId="0" fontId="7" fillId="0" borderId="0" xfId="1" applyFont="1" applyAlignment="1">
      <alignment horizontal="center"/>
    </xf>
    <xf numFmtId="0" fontId="8" fillId="0" borderId="0" xfId="1" applyFont="1"/>
    <xf numFmtId="3" fontId="9" fillId="0" borderId="0" xfId="1" applyNumberFormat="1" applyFont="1" applyAlignment="1">
      <alignment horizontal="left" indent="1"/>
    </xf>
    <xf numFmtId="0" fontId="1" fillId="0" borderId="0" xfId="1" applyFont="1" applyAlignment="1">
      <alignment horizontal="left" indent="1"/>
    </xf>
    <xf numFmtId="0" fontId="10" fillId="0" borderId="0" xfId="10"/>
    <xf numFmtId="0" fontId="2" fillId="0" borderId="0" xfId="3" applyFont="1"/>
    <xf numFmtId="1" fontId="2" fillId="0" borderId="0" xfId="3" applyNumberFormat="1" applyFont="1"/>
    <xf numFmtId="3" fontId="11" fillId="0" borderId="0" xfId="2" applyNumberFormat="1" applyFont="1" applyAlignment="1">
      <alignment vertical="top"/>
    </xf>
    <xf numFmtId="3" fontId="2" fillId="0" borderId="0" xfId="2" applyNumberFormat="1" applyFont="1"/>
    <xf numFmtId="1" fontId="2" fillId="0" borderId="0" xfId="2" applyNumberFormat="1" applyFont="1"/>
    <xf numFmtId="3" fontId="12" fillId="0" borderId="0" xfId="11" applyNumberFormat="1" applyFont="1" applyBorder="1" applyAlignment="1">
      <alignment horizontal="left" vertical="center"/>
    </xf>
    <xf numFmtId="3" fontId="12" fillId="0" borderId="0" xfId="11" applyNumberFormat="1" applyFont="1" applyBorder="1" applyAlignment="1">
      <alignment horizontal="center" vertical="center"/>
    </xf>
    <xf numFmtId="3" fontId="12" fillId="0" borderId="0" xfId="11" applyNumberFormat="1" applyFont="1" applyBorder="1" applyAlignment="1">
      <alignment horizontal="centerContinuous" vertical="center"/>
    </xf>
    <xf numFmtId="14" fontId="2" fillId="0" borderId="0" xfId="2" applyNumberFormat="1" applyFont="1"/>
    <xf numFmtId="0" fontId="13" fillId="0" borderId="1" xfId="12" applyFont="1" applyFill="1" applyBorder="1" applyAlignment="1">
      <alignment horizontal="center" vertical="center"/>
    </xf>
    <xf numFmtId="0" fontId="13" fillId="0" borderId="2" xfId="12" applyFont="1" applyFill="1" applyBorder="1" applyAlignment="1">
      <alignment horizontal="center" vertical="center" wrapText="1"/>
    </xf>
    <xf numFmtId="0" fontId="14" fillId="0" borderId="0" xfId="3" applyFont="1"/>
    <xf numFmtId="0" fontId="15" fillId="0" borderId="0" xfId="3" applyFont="1"/>
    <xf numFmtId="164" fontId="17" fillId="0" borderId="0" xfId="13" applyNumberFormat="1" applyFont="1" applyFill="1" applyBorder="1" applyAlignment="1">
      <alignment vertical="center"/>
    </xf>
    <xf numFmtId="164" fontId="18" fillId="0" borderId="0" xfId="14" applyNumberFormat="1" applyFont="1" applyFill="1" applyBorder="1" applyAlignment="1">
      <alignment vertical="center"/>
    </xf>
    <xf numFmtId="164" fontId="15" fillId="4" borderId="0" xfId="13" applyNumberFormat="1" applyFont="1" applyFill="1" applyBorder="1" applyAlignment="1"/>
    <xf numFmtId="164" fontId="9" fillId="0" borderId="0" xfId="13" applyNumberFormat="1" applyFont="1" applyFill="1" applyBorder="1" applyAlignment="1">
      <alignment vertical="center"/>
    </xf>
    <xf numFmtId="164" fontId="19" fillId="0" borderId="0" xfId="14" applyNumberFormat="1" applyFont="1" applyFill="1" applyBorder="1" applyAlignment="1">
      <alignment vertical="center"/>
    </xf>
    <xf numFmtId="165" fontId="17" fillId="0" borderId="0" xfId="15" applyNumberFormat="1" applyFont="1" applyFill="1" applyBorder="1" applyAlignment="1">
      <alignment vertical="center"/>
    </xf>
    <xf numFmtId="165" fontId="17" fillId="0" borderId="2" xfId="15" applyNumberFormat="1" applyFont="1" applyFill="1" applyBorder="1" applyAlignment="1">
      <alignment vertical="center" wrapText="1"/>
    </xf>
    <xf numFmtId="164" fontId="9" fillId="0" borderId="0" xfId="13" applyNumberFormat="1" applyFont="1" applyFill="1" applyBorder="1" applyAlignment="1">
      <alignment vertical="center" wrapText="1"/>
    </xf>
    <xf numFmtId="164" fontId="14" fillId="4" borderId="0" xfId="13" applyNumberFormat="1" applyFont="1" applyFill="1" applyBorder="1" applyAlignment="1"/>
    <xf numFmtId="165" fontId="17" fillId="0" borderId="0" xfId="15" applyNumberFormat="1" applyFont="1" applyFill="1" applyBorder="1" applyAlignment="1">
      <alignment vertical="center" wrapText="1"/>
    </xf>
    <xf numFmtId="164" fontId="20" fillId="0" borderId="0" xfId="16" applyNumberFormat="1" applyFont="1" applyFill="1" applyBorder="1" applyAlignment="1">
      <alignment vertical="center" wrapText="1"/>
    </xf>
    <xf numFmtId="164" fontId="21" fillId="4" borderId="0" xfId="16" applyNumberFormat="1" applyFont="1" applyFill="1" applyBorder="1" applyAlignment="1"/>
    <xf numFmtId="164" fontId="15" fillId="4" borderId="0" xfId="16" applyNumberFormat="1" applyFont="1" applyFill="1" applyBorder="1" applyAlignment="1"/>
    <xf numFmtId="3" fontId="22" fillId="0" borderId="0" xfId="15" applyNumberFormat="1" applyFont="1" applyFill="1" applyBorder="1" applyAlignment="1">
      <alignment wrapText="1"/>
    </xf>
    <xf numFmtId="3" fontId="16" fillId="0" borderId="0" xfId="15" applyNumberFormat="1" applyFont="1" applyFill="1" applyBorder="1" applyAlignment="1">
      <alignment horizontal="right" wrapText="1"/>
    </xf>
    <xf numFmtId="3" fontId="1" fillId="0" borderId="0" xfId="13" applyNumberFormat="1" applyFont="1" applyFill="1" applyBorder="1" applyAlignment="1">
      <alignment horizontal="right" vertical="center" wrapText="1"/>
    </xf>
    <xf numFmtId="3" fontId="1" fillId="0" borderId="0" xfId="2" applyNumberFormat="1" applyFont="1"/>
    <xf numFmtId="2" fontId="1" fillId="0" borderId="0" xfId="2" applyNumberFormat="1" applyFont="1"/>
    <xf numFmtId="1" fontId="1" fillId="0" borderId="0" xfId="2" applyNumberFormat="1" applyFont="1"/>
    <xf numFmtId="1" fontId="23" fillId="0" borderId="0" xfId="2" applyNumberFormat="1" applyFont="1"/>
    <xf numFmtId="3" fontId="24" fillId="0" borderId="0" xfId="2" applyNumberFormat="1" applyFont="1"/>
    <xf numFmtId="1" fontId="24" fillId="0" borderId="0" xfId="2" applyNumberFormat="1" applyFont="1"/>
    <xf numFmtId="3" fontId="23" fillId="0" borderId="0" xfId="2" applyNumberFormat="1" applyFont="1"/>
    <xf numFmtId="3" fontId="25" fillId="0" borderId="0" xfId="2" applyNumberFormat="1" applyFont="1"/>
    <xf numFmtId="3" fontId="1" fillId="0" borderId="0" xfId="2" applyNumberFormat="1" applyFont="1" applyAlignment="1">
      <alignment horizontal="center"/>
    </xf>
    <xf numFmtId="1" fontId="1" fillId="0" borderId="0" xfId="2" applyNumberFormat="1" applyFont="1" applyAlignment="1">
      <alignment horizontal="center"/>
    </xf>
    <xf numFmtId="1" fontId="24" fillId="5" borderId="0" xfId="2" applyNumberFormat="1" applyFont="1" applyFill="1"/>
    <xf numFmtId="3" fontId="24" fillId="5" borderId="0" xfId="2" applyNumberFormat="1" applyFont="1" applyFill="1"/>
    <xf numFmtId="3" fontId="2" fillId="4" borderId="0" xfId="2" applyNumberFormat="1" applyFont="1" applyFill="1"/>
    <xf numFmtId="0" fontId="2" fillId="0" borderId="0" xfId="5" applyFont="1"/>
    <xf numFmtId="0" fontId="2" fillId="0" borderId="0" xfId="4" applyFont="1"/>
    <xf numFmtId="3" fontId="26" fillId="0" borderId="0" xfId="4" applyNumberFormat="1" applyFont="1" applyAlignment="1">
      <alignment vertical="top"/>
    </xf>
    <xf numFmtId="3" fontId="3" fillId="0" borderId="0" xfId="4" applyNumberFormat="1" applyFont="1"/>
    <xf numFmtId="3" fontId="2" fillId="0" borderId="0" xfId="4" applyNumberFormat="1" applyFont="1"/>
    <xf numFmtId="3" fontId="27" fillId="0" borderId="0" xfId="11" applyNumberFormat="1" applyFont="1" applyBorder="1" applyAlignment="1">
      <alignment horizontal="left" vertical="center"/>
    </xf>
    <xf numFmtId="3" fontId="27" fillId="0" borderId="0" xfId="11" applyNumberFormat="1" applyFont="1" applyBorder="1" applyAlignment="1">
      <alignment horizontal="centerContinuous" vertical="center"/>
    </xf>
    <xf numFmtId="3" fontId="28" fillId="0" borderId="0" xfId="11" applyNumberFormat="1" applyFont="1" applyBorder="1" applyAlignment="1">
      <alignment horizontal="centerContinuous" vertical="center"/>
    </xf>
    <xf numFmtId="0" fontId="2" fillId="0" borderId="0" xfId="4" applyFont="1" applyAlignment="1">
      <alignment horizontal="center"/>
    </xf>
    <xf numFmtId="0" fontId="30" fillId="4" borderId="2" xfId="12" applyFont="1" applyFill="1" applyBorder="1" applyAlignment="1">
      <alignment horizontal="center" vertical="center"/>
    </xf>
    <xf numFmtId="0" fontId="29" fillId="0" borderId="0" xfId="12" applyFont="1" applyFill="1" applyBorder="1" applyAlignment="1">
      <alignment horizontal="center" vertical="center" wrapText="1"/>
    </xf>
    <xf numFmtId="4" fontId="9" fillId="0" borderId="0" xfId="13" applyNumberFormat="1" applyFont="1" applyFill="1" applyBorder="1" applyAlignment="1">
      <alignment vertical="center" wrapText="1"/>
    </xf>
    <xf numFmtId="4" fontId="9" fillId="0" borderId="0" xfId="13" applyNumberFormat="1" applyFont="1" applyFill="1" applyBorder="1" applyAlignment="1">
      <alignment horizontal="right" vertical="center" wrapText="1"/>
    </xf>
    <xf numFmtId="164" fontId="9" fillId="0" borderId="0" xfId="13" applyNumberFormat="1" applyFont="1" applyFill="1" applyBorder="1" applyAlignment="1">
      <alignment horizontal="right" vertical="center" wrapText="1"/>
    </xf>
    <xf numFmtId="164" fontId="2" fillId="4" borderId="0" xfId="13" applyNumberFormat="1" applyFont="1" applyFill="1" applyBorder="1" applyAlignment="1"/>
    <xf numFmtId="4" fontId="20" fillId="0" borderId="0" xfId="15" applyNumberFormat="1" applyFont="1" applyFill="1" applyBorder="1" applyAlignment="1">
      <alignment vertical="center" wrapText="1"/>
    </xf>
    <xf numFmtId="165" fontId="20" fillId="0" borderId="0" xfId="15" applyNumberFormat="1" applyFont="1" applyFill="1" applyBorder="1" applyAlignment="1">
      <alignment horizontal="right" wrapText="1"/>
    </xf>
    <xf numFmtId="4" fontId="29" fillId="0" borderId="0" xfId="13" applyNumberFormat="1" applyFont="1" applyFill="1" applyBorder="1" applyAlignment="1">
      <alignment vertical="center" wrapText="1"/>
    </xf>
    <xf numFmtId="165" fontId="29" fillId="0" borderId="0" xfId="13" applyNumberFormat="1" applyFont="1" applyFill="1" applyBorder="1" applyAlignment="1">
      <alignment horizontal="right" vertical="center" wrapText="1"/>
    </xf>
    <xf numFmtId="165" fontId="2" fillId="4" borderId="0" xfId="13" applyNumberFormat="1" applyFont="1" applyFill="1" applyBorder="1" applyAlignment="1"/>
    <xf numFmtId="4" fontId="17" fillId="0" borderId="1" xfId="15" applyNumberFormat="1" applyFont="1" applyFill="1" applyBorder="1" applyAlignment="1">
      <alignment vertical="center" wrapText="1"/>
    </xf>
    <xf numFmtId="4" fontId="17" fillId="0" borderId="2" xfId="15" applyNumberFormat="1" applyFont="1" applyFill="1" applyBorder="1" applyAlignment="1">
      <alignment vertical="center" wrapText="1"/>
    </xf>
    <xf numFmtId="165" fontId="17" fillId="0" borderId="2" xfId="15" applyNumberFormat="1" applyFont="1" applyFill="1" applyBorder="1" applyAlignment="1">
      <alignment horizontal="right" vertical="center" wrapText="1"/>
    </xf>
    <xf numFmtId="4" fontId="20" fillId="0" borderId="0" xfId="13" applyNumberFormat="1" applyFont="1" applyFill="1" applyBorder="1" applyAlignment="1">
      <alignment vertical="center" wrapText="1"/>
    </xf>
    <xf numFmtId="164" fontId="20" fillId="0" borderId="0" xfId="13" applyNumberFormat="1" applyFont="1" applyFill="1" applyBorder="1" applyAlignment="1">
      <alignment horizontal="right" vertical="center" wrapText="1"/>
    </xf>
    <xf numFmtId="166" fontId="4" fillId="0" borderId="0" xfId="4" applyNumberFormat="1" applyFont="1"/>
    <xf numFmtId="0" fontId="15" fillId="0" borderId="0" xfId="4" applyFont="1"/>
    <xf numFmtId="164" fontId="17" fillId="0" borderId="2" xfId="15" applyNumberFormat="1" applyFont="1" applyFill="1" applyBorder="1" applyAlignment="1">
      <alignment horizontal="right" vertical="center" wrapText="1"/>
    </xf>
    <xf numFmtId="4" fontId="17" fillId="0" borderId="0" xfId="15" applyNumberFormat="1" applyFont="1" applyFill="1" applyBorder="1" applyAlignment="1">
      <alignment vertical="center" wrapText="1"/>
    </xf>
    <xf numFmtId="165" fontId="17" fillId="0" borderId="0" xfId="15" applyNumberFormat="1" applyFont="1" applyFill="1" applyBorder="1" applyAlignment="1">
      <alignment horizontal="right" vertical="center" wrapText="1"/>
    </xf>
    <xf numFmtId="4" fontId="17" fillId="0" borderId="0" xfId="13" applyNumberFormat="1" applyFont="1" applyFill="1" applyBorder="1" applyAlignment="1">
      <alignment vertical="center" wrapText="1"/>
    </xf>
    <xf numFmtId="164" fontId="17" fillId="0" borderId="0" xfId="13" applyNumberFormat="1" applyFont="1" applyFill="1" applyBorder="1" applyAlignment="1">
      <alignment horizontal="right" vertical="center" wrapText="1"/>
    </xf>
    <xf numFmtId="3" fontId="17" fillId="0" borderId="0" xfId="15" applyNumberFormat="1" applyFont="1" applyFill="1" applyBorder="1" applyAlignment="1">
      <alignment horizontal="right" wrapText="1"/>
    </xf>
    <xf numFmtId="3" fontId="9" fillId="0" borderId="0" xfId="13" applyNumberFormat="1" applyFont="1" applyFill="1" applyBorder="1" applyAlignment="1">
      <alignment horizontal="right" vertical="center" wrapText="1"/>
    </xf>
    <xf numFmtId="3" fontId="15" fillId="2" borderId="0" xfId="4" applyNumberFormat="1" applyFont="1" applyFill="1"/>
    <xf numFmtId="3" fontId="31" fillId="2" borderId="0" xfId="4" applyNumberFormat="1" applyFont="1" applyFill="1" applyAlignment="1">
      <alignment wrapText="1"/>
    </xf>
    <xf numFmtId="3" fontId="15" fillId="0" borderId="0" xfId="4" applyNumberFormat="1" applyFont="1"/>
    <xf numFmtId="4" fontId="9" fillId="0" borderId="0" xfId="4" applyNumberFormat="1" applyFont="1"/>
    <xf numFmtId="4" fontId="3" fillId="4" borderId="0" xfId="4" applyNumberFormat="1" applyFont="1" applyFill="1"/>
    <xf numFmtId="3" fontId="31" fillId="0" borderId="0" xfId="4" applyNumberFormat="1" applyFont="1"/>
    <xf numFmtId="3" fontId="9" fillId="0" borderId="0" xfId="4" applyNumberFormat="1" applyFont="1"/>
    <xf numFmtId="3" fontId="4" fillId="0" borderId="0" xfId="4" applyNumberFormat="1" applyFont="1"/>
    <xf numFmtId="3" fontId="32" fillId="0" borderId="0" xfId="4" applyNumberFormat="1" applyFont="1"/>
    <xf numFmtId="3" fontId="33" fillId="4" borderId="0" xfId="17" applyNumberFormat="1" applyFont="1"/>
    <xf numFmtId="3" fontId="3" fillId="4" borderId="0" xfId="4" applyNumberFormat="1" applyFont="1" applyFill="1"/>
    <xf numFmtId="3" fontId="5" fillId="0" borderId="0" xfId="4" applyNumberFormat="1" applyFont="1"/>
    <xf numFmtId="0" fontId="1" fillId="0" borderId="0" xfId="6" applyFont="1"/>
    <xf numFmtId="4" fontId="1" fillId="0" borderId="0" xfId="6" applyNumberFormat="1" applyFont="1"/>
    <xf numFmtId="3" fontId="11" fillId="0" borderId="0" xfId="6" applyNumberFormat="1" applyFont="1" applyAlignment="1">
      <alignment vertical="top"/>
    </xf>
    <xf numFmtId="4" fontId="4" fillId="0" borderId="0" xfId="6" applyNumberFormat="1" applyFont="1"/>
    <xf numFmtId="3" fontId="34" fillId="0" borderId="0" xfId="18" applyNumberFormat="1" applyFont="1" applyBorder="1" applyAlignment="1">
      <alignment vertical="center"/>
    </xf>
    <xf numFmtId="4" fontId="34" fillId="0" borderId="0" xfId="18" applyNumberFormat="1" applyFont="1" applyBorder="1" applyAlignment="1">
      <alignment vertical="center"/>
    </xf>
    <xf numFmtId="3" fontId="34" fillId="0" borderId="0" xfId="18" applyNumberFormat="1" applyFont="1" applyBorder="1" applyAlignment="1">
      <alignment horizontal="center" vertical="center"/>
    </xf>
    <xf numFmtId="4" fontId="34" fillId="0" borderId="0" xfId="18" applyNumberFormat="1" applyFont="1" applyBorder="1" applyAlignment="1">
      <alignment horizontal="center" vertical="center"/>
    </xf>
    <xf numFmtId="4" fontId="1" fillId="0" borderId="0" xfId="6" applyNumberFormat="1" applyFont="1" applyAlignment="1">
      <alignment horizontal="center"/>
    </xf>
    <xf numFmtId="4" fontId="13" fillId="0" borderId="1" xfId="19" applyNumberFormat="1" applyFont="1" applyFill="1" applyBorder="1" applyAlignment="1">
      <alignment horizontal="center" vertical="center" wrapText="1"/>
    </xf>
    <xf numFmtId="4" fontId="13" fillId="0" borderId="2" xfId="19" applyNumberFormat="1" applyFont="1" applyFill="1" applyBorder="1" applyAlignment="1">
      <alignment horizontal="center" vertical="center" wrapText="1"/>
    </xf>
    <xf numFmtId="4" fontId="30" fillId="4" borderId="2" xfId="19" applyNumberFormat="1" applyFont="1" applyFill="1" applyBorder="1" applyAlignment="1">
      <alignment horizontal="center"/>
    </xf>
    <xf numFmtId="4" fontId="29" fillId="0" borderId="0" xfId="19" applyNumberFormat="1" applyFont="1" applyFill="1" applyBorder="1" applyAlignment="1">
      <alignment horizontal="center" vertical="center" wrapText="1"/>
    </xf>
    <xf numFmtId="0" fontId="1" fillId="0" borderId="0" xfId="6" applyFont="1" applyAlignment="1">
      <alignment horizontal="left"/>
    </xf>
    <xf numFmtId="0" fontId="9" fillId="0" borderId="0" xfId="6" applyFont="1"/>
    <xf numFmtId="4" fontId="9" fillId="0" borderId="0" xfId="6" applyNumberFormat="1" applyFont="1"/>
    <xf numFmtId="164" fontId="9" fillId="0" borderId="0" xfId="20" applyNumberFormat="1" applyFont="1" applyFill="1" applyBorder="1" applyAlignment="1">
      <alignment horizontal="right" vertical="center"/>
    </xf>
    <xf numFmtId="4" fontId="9" fillId="0" borderId="0" xfId="20" applyNumberFormat="1" applyFont="1" applyFill="1" applyBorder="1" applyAlignment="1">
      <alignment horizontal="right" vertical="center" wrapText="1"/>
    </xf>
    <xf numFmtId="165" fontId="17" fillId="0" borderId="0" xfId="21" applyNumberFormat="1" applyFont="1" applyFill="1" applyBorder="1" applyAlignment="1">
      <alignment horizontal="right" vertical="center"/>
    </xf>
    <xf numFmtId="4" fontId="17" fillId="0" borderId="0" xfId="21" applyNumberFormat="1" applyFont="1" applyFill="1" applyBorder="1" applyAlignment="1">
      <alignment horizontal="right" vertical="center" wrapText="1"/>
    </xf>
    <xf numFmtId="164" fontId="17" fillId="0" borderId="0" xfId="21" applyNumberFormat="1" applyFont="1" applyFill="1" applyBorder="1" applyAlignment="1">
      <alignment horizontal="right" vertical="center"/>
    </xf>
    <xf numFmtId="4" fontId="9" fillId="0" borderId="0" xfId="20" applyNumberFormat="1" applyFont="1" applyFill="1" applyBorder="1" applyAlignment="1">
      <alignment vertical="center"/>
    </xf>
    <xf numFmtId="0" fontId="33" fillId="4" borderId="0" xfId="22" applyFont="1"/>
    <xf numFmtId="4" fontId="15" fillId="0" borderId="0" xfId="20" applyNumberFormat="1" applyFont="1" applyFill="1" applyBorder="1" applyAlignment="1">
      <alignment horizontal="right" vertical="center" wrapText="1"/>
    </xf>
    <xf numFmtId="0" fontId="35" fillId="0" borderId="0" xfId="6" applyFont="1"/>
    <xf numFmtId="3" fontId="1" fillId="0" borderId="0" xfId="6" applyNumberFormat="1" applyFont="1"/>
    <xf numFmtId="3" fontId="25" fillId="0" borderId="0" xfId="6" applyNumberFormat="1" applyFont="1"/>
    <xf numFmtId="4" fontId="17" fillId="0" borderId="2" xfId="21" applyNumberFormat="1" applyFont="1" applyFill="1" applyBorder="1" applyAlignment="1">
      <alignment vertical="center"/>
    </xf>
    <xf numFmtId="4" fontId="17" fillId="0" borderId="2" xfId="21" applyNumberFormat="1" applyFont="1" applyFill="1" applyBorder="1" applyAlignment="1">
      <alignment horizontal="right" vertical="center" wrapText="1"/>
    </xf>
    <xf numFmtId="4" fontId="17" fillId="0" borderId="0" xfId="21" applyNumberFormat="1" applyFont="1" applyFill="1" applyBorder="1" applyAlignment="1">
      <alignment vertical="center"/>
    </xf>
    <xf numFmtId="4" fontId="20" fillId="0" borderId="0" xfId="20" applyNumberFormat="1" applyFont="1" applyFill="1" applyBorder="1" applyAlignment="1">
      <alignment vertical="center"/>
    </xf>
    <xf numFmtId="4" fontId="20" fillId="0" borderId="0" xfId="20" applyNumberFormat="1" applyFont="1" applyFill="1" applyBorder="1" applyAlignment="1">
      <alignment horizontal="right" vertical="center" wrapText="1"/>
    </xf>
    <xf numFmtId="4" fontId="17" fillId="0" borderId="0" xfId="20" applyNumberFormat="1" applyFont="1" applyFill="1" applyBorder="1" applyAlignment="1">
      <alignment vertical="center"/>
    </xf>
    <xf numFmtId="4" fontId="17" fillId="0" borderId="0" xfId="20" applyNumberFormat="1" applyFont="1" applyFill="1" applyBorder="1" applyAlignment="1">
      <alignment horizontal="right" vertical="center" wrapText="1"/>
    </xf>
    <xf numFmtId="4" fontId="29" fillId="0" borderId="2" xfId="20" applyNumberFormat="1" applyFont="1" applyFill="1" applyBorder="1" applyAlignment="1">
      <alignment vertical="center"/>
    </xf>
    <xf numFmtId="4" fontId="29" fillId="0" borderId="2" xfId="20" applyNumberFormat="1" applyFont="1" applyFill="1" applyBorder="1" applyAlignment="1">
      <alignment horizontal="right" vertical="center" wrapText="1"/>
    </xf>
    <xf numFmtId="4" fontId="29" fillId="0" borderId="1" xfId="19" applyNumberFormat="1" applyFont="1" applyFill="1" applyBorder="1" applyAlignment="1">
      <alignment horizontal="center" vertical="center" wrapText="1"/>
    </xf>
    <xf numFmtId="4" fontId="29" fillId="0" borderId="3" xfId="19" applyNumberFormat="1" applyFont="1" applyFill="1" applyBorder="1" applyAlignment="1">
      <alignment horizontal="center" vertical="center" wrapText="1"/>
    </xf>
    <xf numFmtId="4" fontId="9" fillId="0" borderId="4" xfId="6" applyNumberFormat="1" applyFont="1" applyBorder="1"/>
    <xf numFmtId="4" fontId="29" fillId="0" borderId="2" xfId="19" applyNumberFormat="1" applyFont="1" applyFill="1" applyBorder="1" applyAlignment="1">
      <alignment horizontal="center" vertical="center" wrapText="1"/>
    </xf>
    <xf numFmtId="0" fontId="25" fillId="0" borderId="0" xfId="6" applyFont="1"/>
    <xf numFmtId="4" fontId="29" fillId="0" borderId="0" xfId="20" applyNumberFormat="1" applyFont="1" applyFill="1" applyBorder="1" applyAlignment="1">
      <alignment vertical="center"/>
    </xf>
    <xf numFmtId="4" fontId="29" fillId="0" borderId="0" xfId="20" applyNumberFormat="1" applyFont="1" applyFill="1" applyBorder="1" applyAlignment="1">
      <alignment horizontal="right" vertical="center" wrapText="1"/>
    </xf>
    <xf numFmtId="4" fontId="15" fillId="0" borderId="0" xfId="6" applyNumberFormat="1" applyFont="1" applyAlignment="1">
      <alignment vertical="center"/>
    </xf>
    <xf numFmtId="4" fontId="15" fillId="0" borderId="0" xfId="6" applyNumberFormat="1" applyFont="1" applyAlignment="1">
      <alignment vertical="center" wrapText="1"/>
    </xf>
    <xf numFmtId="4" fontId="37" fillId="0" borderId="2" xfId="20" applyNumberFormat="1" applyFont="1" applyFill="1" applyBorder="1" applyAlignment="1">
      <alignment vertical="center"/>
    </xf>
    <xf numFmtId="4" fontId="37" fillId="0" borderId="2" xfId="20" applyNumberFormat="1" applyFont="1" applyFill="1" applyBorder="1" applyAlignment="1">
      <alignment horizontal="right" vertical="center" wrapText="1"/>
    </xf>
    <xf numFmtId="4" fontId="36" fillId="0" borderId="0" xfId="20" applyNumberFormat="1" applyFont="1" applyFill="1" applyBorder="1" applyAlignment="1">
      <alignment vertical="center" wrapText="1"/>
    </xf>
    <xf numFmtId="4" fontId="36" fillId="0" borderId="0" xfId="20" applyNumberFormat="1" applyFont="1" applyFill="1" applyBorder="1" applyAlignment="1">
      <alignment horizontal="right" vertical="center" wrapText="1"/>
    </xf>
    <xf numFmtId="3" fontId="16" fillId="0" borderId="0" xfId="21" applyNumberFormat="1" applyFont="1" applyFill="1" applyBorder="1" applyAlignment="1">
      <alignment horizontal="right" wrapText="1"/>
    </xf>
    <xf numFmtId="3" fontId="36" fillId="0" borderId="0" xfId="20" applyNumberFormat="1" applyFont="1" applyFill="1" applyBorder="1" applyAlignment="1">
      <alignment vertical="center" wrapText="1"/>
    </xf>
    <xf numFmtId="4" fontId="1" fillId="0" borderId="0" xfId="20" applyNumberFormat="1" applyFont="1" applyFill="1" applyBorder="1" applyAlignment="1">
      <alignment horizontal="right" vertical="center" wrapText="1"/>
    </xf>
    <xf numFmtId="3" fontId="1" fillId="2" borderId="0" xfId="6" applyNumberFormat="1" applyFont="1" applyFill="1"/>
    <xf numFmtId="0" fontId="1" fillId="2" borderId="0" xfId="6" applyFont="1" applyFill="1"/>
    <xf numFmtId="4" fontId="1" fillId="2" borderId="0" xfId="6" applyNumberFormat="1" applyFont="1" applyFill="1"/>
    <xf numFmtId="4" fontId="2" fillId="0" borderId="0" xfId="6" applyNumberFormat="1" applyFont="1"/>
    <xf numFmtId="4" fontId="1" fillId="0" borderId="6" xfId="20" applyNumberFormat="1" applyFont="1" applyFill="1" applyBorder="1" applyAlignment="1">
      <alignment horizontal="right" vertical="center" wrapText="1"/>
    </xf>
    <xf numFmtId="4" fontId="4" fillId="0" borderId="0" xfId="7" applyNumberFormat="1" applyFont="1"/>
    <xf numFmtId="0" fontId="3" fillId="0" borderId="0" xfId="24" applyFont="1"/>
    <xf numFmtId="0" fontId="3" fillId="0" borderId="0" xfId="25" applyFont="1"/>
    <xf numFmtId="0" fontId="4" fillId="3" borderId="0" xfId="7" applyFont="1" applyFill="1"/>
    <xf numFmtId="4" fontId="4" fillId="3" borderId="0" xfId="7" applyNumberFormat="1" applyFont="1" applyFill="1"/>
    <xf numFmtId="4" fontId="3" fillId="7" borderId="0" xfId="24" applyNumberFormat="1" applyFont="1" applyFill="1"/>
    <xf numFmtId="4" fontId="3" fillId="8" borderId="0" xfId="24" applyNumberFormat="1" applyFont="1" applyFill="1"/>
    <xf numFmtId="0" fontId="38" fillId="7" borderId="0" xfId="24" applyFont="1" applyFill="1"/>
    <xf numFmtId="0" fontId="38" fillId="0" borderId="0" xfId="24" applyFont="1"/>
    <xf numFmtId="0" fontId="4" fillId="0" borderId="7" xfId="7" applyFont="1" applyBorder="1"/>
    <xf numFmtId="0" fontId="4" fillId="0" borderId="8" xfId="7" applyFont="1" applyBorder="1"/>
    <xf numFmtId="0" fontId="4" fillId="0" borderId="0" xfId="7" applyFont="1" applyAlignment="1">
      <alignment horizontal="center"/>
    </xf>
    <xf numFmtId="4" fontId="3" fillId="0" borderId="7" xfId="24" applyNumberFormat="1" applyFont="1" applyBorder="1"/>
    <xf numFmtId="4" fontId="3" fillId="0" borderId="8" xfId="24" applyNumberFormat="1" applyFont="1" applyBorder="1"/>
    <xf numFmtId="0" fontId="3" fillId="0" borderId="9" xfId="24" applyFont="1" applyBorder="1" applyAlignment="1">
      <alignment horizontal="center"/>
    </xf>
    <xf numFmtId="0" fontId="3" fillId="0" borderId="0" xfId="24" applyFont="1" applyAlignment="1">
      <alignment horizontal="center"/>
    </xf>
    <xf numFmtId="0" fontId="4" fillId="0" borderId="10" xfId="7" applyFont="1" applyBorder="1"/>
    <xf numFmtId="4" fontId="4" fillId="0" borderId="0" xfId="7" applyNumberFormat="1" applyFont="1" applyAlignment="1">
      <alignment horizontal="center"/>
    </xf>
    <xf numFmtId="0" fontId="3" fillId="4" borderId="11" xfId="24" applyFont="1" applyFill="1" applyBorder="1" applyAlignment="1">
      <alignment horizontal="center"/>
    </xf>
    <xf numFmtId="4" fontId="3" fillId="0" borderId="12" xfId="24" applyNumberFormat="1" applyFont="1" applyBorder="1" applyAlignment="1">
      <alignment horizontal="center"/>
    </xf>
    <xf numFmtId="4" fontId="3" fillId="0" borderId="0" xfId="24" applyNumberFormat="1" applyFont="1" applyAlignment="1">
      <alignment horizontal="center"/>
    </xf>
    <xf numFmtId="0" fontId="3" fillId="0" borderId="11" xfId="24" applyFont="1" applyBorder="1" applyAlignment="1">
      <alignment horizontal="center"/>
    </xf>
    <xf numFmtId="0" fontId="3" fillId="7" borderId="0" xfId="24" applyFont="1" applyFill="1"/>
    <xf numFmtId="0" fontId="13" fillId="0" borderId="13" xfId="26" applyFont="1" applyBorder="1" applyProtection="1">
      <protection locked="0"/>
    </xf>
    <xf numFmtId="0" fontId="13" fillId="0" borderId="0" xfId="26" applyFont="1" applyProtection="1">
      <protection locked="0"/>
    </xf>
    <xf numFmtId="4" fontId="3" fillId="0" borderId="11" xfId="24" applyNumberFormat="1" applyFont="1" applyBorder="1" applyAlignment="1">
      <alignment horizontal="center"/>
    </xf>
    <xf numFmtId="4" fontId="3" fillId="0" borderId="12" xfId="24" applyNumberFormat="1" applyFont="1" applyBorder="1"/>
    <xf numFmtId="4" fontId="3" fillId="0" borderId="0" xfId="24" applyNumberFormat="1" applyFont="1"/>
    <xf numFmtId="0" fontId="13" fillId="0" borderId="14" xfId="26" applyFont="1" applyBorder="1" applyAlignment="1" applyProtection="1">
      <alignment horizontal="center"/>
      <protection locked="0"/>
    </xf>
    <xf numFmtId="0" fontId="13" fillId="0" borderId="15" xfId="26" applyFont="1" applyBorder="1" applyAlignment="1" applyProtection="1">
      <alignment horizontal="center"/>
      <protection locked="0"/>
    </xf>
    <xf numFmtId="4" fontId="3" fillId="0" borderId="14" xfId="24" applyNumberFormat="1" applyFont="1" applyBorder="1"/>
    <xf numFmtId="4" fontId="3" fillId="0" borderId="15" xfId="24" applyNumberFormat="1" applyFont="1" applyBorder="1"/>
    <xf numFmtId="4" fontId="3" fillId="0" borderId="16" xfId="24" applyNumberFormat="1" applyFont="1" applyBorder="1"/>
    <xf numFmtId="0" fontId="13" fillId="0" borderId="11" xfId="26" applyFont="1" applyBorder="1" applyProtection="1">
      <protection locked="0"/>
    </xf>
    <xf numFmtId="4" fontId="3" fillId="0" borderId="11" xfId="24" applyNumberFormat="1" applyFont="1" applyBorder="1"/>
    <xf numFmtId="167" fontId="13" fillId="0" borderId="13" xfId="26" applyNumberFormat="1" applyFont="1" applyBorder="1" applyProtection="1">
      <protection locked="0"/>
    </xf>
    <xf numFmtId="167" fontId="13" fillId="0" borderId="17" xfId="26" applyNumberFormat="1" applyFont="1" applyBorder="1" applyProtection="1">
      <protection locked="0"/>
    </xf>
    <xf numFmtId="4" fontId="3" fillId="0" borderId="13" xfId="24" applyNumberFormat="1" applyFont="1" applyBorder="1"/>
    <xf numFmtId="4" fontId="3" fillId="0" borderId="17" xfId="24" applyNumberFormat="1" applyFont="1" applyBorder="1"/>
    <xf numFmtId="4" fontId="3" fillId="0" borderId="18" xfId="24" applyNumberFormat="1" applyFont="1" applyBorder="1"/>
    <xf numFmtId="0" fontId="39" fillId="0" borderId="11" xfId="26" applyFont="1" applyBorder="1" applyProtection="1">
      <protection locked="0"/>
    </xf>
    <xf numFmtId="0" fontId="39" fillId="0" borderId="0" xfId="26" applyFont="1" applyProtection="1">
      <protection locked="0"/>
    </xf>
    <xf numFmtId="4" fontId="40" fillId="0" borderId="12" xfId="24" applyNumberFormat="1" applyFont="1" applyBorder="1"/>
    <xf numFmtId="0" fontId="41" fillId="0" borderId="11" xfId="26" applyFont="1" applyBorder="1" applyAlignment="1" applyProtection="1">
      <alignment horizontal="right"/>
      <protection locked="0"/>
    </xf>
    <xf numFmtId="0" fontId="25" fillId="0" borderId="0" xfId="26" applyFont="1" applyAlignment="1" applyProtection="1">
      <alignment horizontal="right"/>
      <protection locked="0"/>
    </xf>
    <xf numFmtId="4" fontId="41" fillId="0" borderId="0" xfId="26" applyNumberFormat="1" applyFont="1" applyProtection="1">
      <protection locked="0"/>
    </xf>
    <xf numFmtId="4" fontId="42" fillId="0" borderId="11" xfId="1" applyNumberFormat="1" applyFont="1" applyBorder="1" applyProtection="1">
      <protection locked="0"/>
    </xf>
    <xf numFmtId="4" fontId="42" fillId="0" borderId="0" xfId="1" applyNumberFormat="1" applyFont="1" applyProtection="1">
      <protection locked="0"/>
    </xf>
    <xf numFmtId="4" fontId="42" fillId="0" borderId="12" xfId="1" applyNumberFormat="1" applyFont="1" applyBorder="1" applyProtection="1">
      <protection locked="0"/>
    </xf>
    <xf numFmtId="4" fontId="4" fillId="0" borderId="11" xfId="7" applyNumberFormat="1" applyFont="1" applyBorder="1"/>
    <xf numFmtId="4" fontId="40" fillId="0" borderId="0" xfId="7" applyNumberFormat="1" applyFont="1"/>
    <xf numFmtId="4" fontId="40" fillId="0" borderId="0" xfId="24" applyNumberFormat="1" applyFont="1"/>
    <xf numFmtId="4" fontId="42" fillId="0" borderId="19" xfId="1" applyNumberFormat="1" applyFont="1" applyBorder="1" applyProtection="1">
      <protection locked="0"/>
    </xf>
    <xf numFmtId="0" fontId="3" fillId="9" borderId="0" xfId="24" applyFont="1" applyFill="1"/>
    <xf numFmtId="0" fontId="39" fillId="0" borderId="11" xfId="26" applyFont="1" applyBorder="1" applyAlignment="1" applyProtection="1">
      <alignment horizontal="left"/>
      <protection locked="0"/>
    </xf>
    <xf numFmtId="4" fontId="40" fillId="0" borderId="11" xfId="24" applyNumberFormat="1" applyFont="1" applyBorder="1"/>
    <xf numFmtId="0" fontId="43" fillId="0" borderId="11" xfId="26" applyFont="1" applyBorder="1" applyAlignment="1" applyProtection="1">
      <alignment horizontal="right"/>
      <protection locked="0"/>
    </xf>
    <xf numFmtId="0" fontId="44" fillId="0" borderId="0" xfId="26" applyFont="1" applyAlignment="1" applyProtection="1">
      <alignment horizontal="right"/>
      <protection locked="0"/>
    </xf>
    <xf numFmtId="4" fontId="45" fillId="0" borderId="0" xfId="1" applyNumberFormat="1" applyFont="1" applyProtection="1">
      <protection locked="0"/>
    </xf>
    <xf numFmtId="0" fontId="4" fillId="0" borderId="11" xfId="7" applyFont="1" applyBorder="1"/>
    <xf numFmtId="4" fontId="13" fillId="0" borderId="0" xfId="26" applyNumberFormat="1" applyFont="1" applyProtection="1">
      <protection locked="0"/>
    </xf>
    <xf numFmtId="4" fontId="13" fillId="0" borderId="11" xfId="1" applyNumberFormat="1" applyFont="1" applyBorder="1" applyProtection="1">
      <protection locked="0"/>
    </xf>
    <xf numFmtId="4" fontId="13" fillId="0" borderId="12" xfId="1" applyNumberFormat="1" applyFont="1" applyBorder="1" applyProtection="1">
      <protection locked="0"/>
    </xf>
    <xf numFmtId="4" fontId="13" fillId="0" borderId="0" xfId="1" applyNumberFormat="1" applyFont="1" applyProtection="1">
      <protection locked="0"/>
    </xf>
    <xf numFmtId="0" fontId="39" fillId="0" borderId="14" xfId="26" applyFont="1" applyBorder="1" applyProtection="1">
      <protection locked="0"/>
    </xf>
    <xf numFmtId="0" fontId="39" fillId="0" borderId="15" xfId="26" applyFont="1" applyBorder="1" applyProtection="1">
      <protection locked="0"/>
    </xf>
    <xf numFmtId="0" fontId="39" fillId="0" borderId="11" xfId="26" applyFont="1" applyBorder="1" applyAlignment="1" applyProtection="1">
      <alignment horizontal="right"/>
      <protection locked="0"/>
    </xf>
    <xf numFmtId="4" fontId="39" fillId="0" borderId="11" xfId="1" applyNumberFormat="1" applyFont="1" applyBorder="1" applyProtection="1">
      <protection locked="0"/>
    </xf>
    <xf numFmtId="4" fontId="38" fillId="0" borderId="0" xfId="7" applyNumberFormat="1" applyFont="1"/>
    <xf numFmtId="4" fontId="38" fillId="0" borderId="11" xfId="24" applyNumberFormat="1" applyFont="1" applyBorder="1"/>
    <xf numFmtId="4" fontId="38" fillId="0" borderId="12" xfId="24" applyNumberFormat="1" applyFont="1" applyBorder="1"/>
    <xf numFmtId="4" fontId="38" fillId="0" borderId="0" xfId="24" applyNumberFormat="1" applyFont="1"/>
    <xf numFmtId="0" fontId="13" fillId="0" borderId="17" xfId="26" applyFont="1" applyBorder="1" applyProtection="1">
      <protection locked="0"/>
    </xf>
    <xf numFmtId="0" fontId="25" fillId="0" borderId="11" xfId="26" applyFont="1" applyBorder="1" applyAlignment="1" applyProtection="1">
      <alignment horizontal="right"/>
      <protection locked="0"/>
    </xf>
    <xf numFmtId="0" fontId="25" fillId="0" borderId="0" xfId="26" applyFont="1" applyProtection="1">
      <protection locked="0"/>
    </xf>
    <xf numFmtId="4" fontId="5" fillId="0" borderId="0" xfId="7" applyNumberFormat="1" applyFont="1"/>
    <xf numFmtId="4" fontId="25" fillId="0" borderId="11" xfId="1" applyNumberFormat="1" applyFont="1" applyBorder="1" applyProtection="1">
      <protection locked="0"/>
    </xf>
    <xf numFmtId="4" fontId="5" fillId="0" borderId="0" xfId="24" applyNumberFormat="1" applyFont="1"/>
    <xf numFmtId="4" fontId="5" fillId="0" borderId="12" xfId="24" applyNumberFormat="1" applyFont="1" applyBorder="1"/>
    <xf numFmtId="0" fontId="5" fillId="7" borderId="0" xfId="24" applyFont="1" applyFill="1"/>
    <xf numFmtId="4" fontId="13" fillId="0" borderId="11" xfId="1" applyNumberFormat="1" applyFont="1" applyBorder="1" applyAlignment="1" applyProtection="1">
      <alignment horizontal="right"/>
      <protection locked="0"/>
    </xf>
    <xf numFmtId="0" fontId="46" fillId="0" borderId="11" xfId="26" applyFont="1" applyBorder="1" applyProtection="1">
      <protection locked="0"/>
    </xf>
    <xf numFmtId="4" fontId="47" fillId="0" borderId="0" xfId="7" applyNumberFormat="1" applyFont="1"/>
    <xf numFmtId="4" fontId="47" fillId="0" borderId="12" xfId="24" applyNumberFormat="1" applyFont="1" applyBorder="1"/>
    <xf numFmtId="4" fontId="47" fillId="0" borderId="0" xfId="24" applyNumberFormat="1" applyFont="1"/>
    <xf numFmtId="0" fontId="48" fillId="0" borderId="14" xfId="26" applyFont="1" applyBorder="1" applyAlignment="1" applyProtection="1">
      <alignment wrapText="1"/>
      <protection locked="0"/>
    </xf>
    <xf numFmtId="0" fontId="39" fillId="0" borderId="13" xfId="26" applyFont="1" applyBorder="1" applyProtection="1">
      <protection locked="0"/>
    </xf>
    <xf numFmtId="0" fontId="39" fillId="0" borderId="17" xfId="26" applyFont="1" applyBorder="1" applyProtection="1">
      <protection locked="0"/>
    </xf>
    <xf numFmtId="0" fontId="46" fillId="0" borderId="13" xfId="26" applyFont="1" applyBorder="1" applyProtection="1">
      <protection locked="0"/>
    </xf>
    <xf numFmtId="4" fontId="47" fillId="0" borderId="18" xfId="24" applyNumberFormat="1" applyFont="1" applyBorder="1"/>
    <xf numFmtId="0" fontId="49" fillId="0" borderId="11" xfId="26" applyFont="1" applyBorder="1" applyProtection="1">
      <protection locked="0"/>
    </xf>
    <xf numFmtId="4" fontId="3" fillId="0" borderId="11" xfId="24" applyNumberFormat="1" applyFont="1" applyBorder="1" applyAlignment="1">
      <alignment horizontal="right"/>
    </xf>
    <xf numFmtId="4" fontId="39" fillId="0" borderId="11" xfId="26" applyNumberFormat="1" applyFont="1" applyBorder="1" applyProtection="1">
      <protection locked="0"/>
    </xf>
    <xf numFmtId="4" fontId="39" fillId="0" borderId="0" xfId="26" applyNumberFormat="1" applyFont="1" applyProtection="1">
      <protection locked="0"/>
    </xf>
    <xf numFmtId="4" fontId="13" fillId="0" borderId="11" xfId="26" applyNumberFormat="1" applyFont="1" applyBorder="1" applyProtection="1">
      <protection locked="0"/>
    </xf>
    <xf numFmtId="0" fontId="13" fillId="0" borderId="15" xfId="26" applyFont="1" applyBorder="1" applyProtection="1">
      <protection locked="0"/>
    </xf>
    <xf numFmtId="0" fontId="50" fillId="0" borderId="11" xfId="26" applyFont="1" applyBorder="1" applyProtection="1">
      <protection locked="0"/>
    </xf>
    <xf numFmtId="0" fontId="36" fillId="0" borderId="11" xfId="26" applyFont="1" applyBorder="1" applyAlignment="1" applyProtection="1">
      <alignment vertical="center" wrapText="1"/>
      <protection locked="0"/>
    </xf>
    <xf numFmtId="0" fontId="36" fillId="0" borderId="0" xfId="26" applyFont="1" applyAlignment="1" applyProtection="1">
      <alignment vertical="center" wrapText="1"/>
      <protection locked="0"/>
    </xf>
    <xf numFmtId="167" fontId="39" fillId="0" borderId="14" xfId="26" applyNumberFormat="1" applyFont="1" applyBorder="1" applyProtection="1">
      <protection locked="0"/>
    </xf>
    <xf numFmtId="167" fontId="39" fillId="0" borderId="15" xfId="26" applyNumberFormat="1" applyFont="1" applyBorder="1" applyProtection="1">
      <protection locked="0"/>
    </xf>
    <xf numFmtId="0" fontId="48" fillId="0" borderId="14" xfId="26" applyFont="1" applyBorder="1" applyProtection="1">
      <protection locked="0"/>
    </xf>
    <xf numFmtId="0" fontId="49" fillId="0" borderId="14" xfId="26" applyFont="1" applyBorder="1" applyProtection="1">
      <protection locked="0"/>
    </xf>
    <xf numFmtId="0" fontId="25" fillId="0" borderId="11" xfId="26" applyFont="1" applyBorder="1" applyProtection="1">
      <protection locked="0"/>
    </xf>
    <xf numFmtId="4" fontId="51" fillId="0" borderId="0" xfId="7" applyNumberFormat="1" applyFont="1"/>
    <xf numFmtId="4" fontId="52" fillId="0" borderId="11" xfId="24" applyNumberFormat="1" applyFont="1" applyBorder="1"/>
    <xf numFmtId="4" fontId="52" fillId="0" borderId="12" xfId="24" applyNumberFormat="1" applyFont="1" applyBorder="1"/>
    <xf numFmtId="4" fontId="52" fillId="0" borderId="0" xfId="24" applyNumberFormat="1" applyFont="1"/>
    <xf numFmtId="0" fontId="39" fillId="0" borderId="11" xfId="26" applyFont="1" applyBorder="1" applyAlignment="1" applyProtection="1">
      <alignment wrapText="1"/>
      <protection locked="0"/>
    </xf>
    <xf numFmtId="4" fontId="3" fillId="4" borderId="11" xfId="24" applyNumberFormat="1" applyFont="1" applyFill="1" applyBorder="1"/>
    <xf numFmtId="0" fontId="13" fillId="0" borderId="14" xfId="26" applyFont="1" applyBorder="1" applyProtection="1">
      <protection locked="0"/>
    </xf>
    <xf numFmtId="0" fontId="53" fillId="0" borderId="0" xfId="26" applyFont="1" applyProtection="1">
      <protection locked="0"/>
    </xf>
    <xf numFmtId="0" fontId="39" fillId="0" borderId="0" xfId="26" applyFont="1"/>
    <xf numFmtId="0" fontId="36" fillId="0" borderId="0" xfId="26" applyFont="1" applyProtection="1">
      <protection locked="0"/>
    </xf>
    <xf numFmtId="4" fontId="39" fillId="0" borderId="0" xfId="1" applyNumberFormat="1" applyFont="1" applyProtection="1">
      <protection locked="0"/>
    </xf>
    <xf numFmtId="4" fontId="3" fillId="4" borderId="0" xfId="24" applyNumberFormat="1" applyFont="1" applyFill="1"/>
    <xf numFmtId="0" fontId="8" fillId="0" borderId="0" xfId="1" applyFont="1" applyAlignment="1">
      <alignment horizontal="center"/>
    </xf>
    <xf numFmtId="0" fontId="1" fillId="0" borderId="0" xfId="1" applyFont="1"/>
    <xf numFmtId="0" fontId="6" fillId="0" borderId="0" xfId="8" applyFont="1" applyAlignment="1">
      <alignment horizontal="center"/>
    </xf>
    <xf numFmtId="0" fontId="6" fillId="0" borderId="0" xfId="9" applyFont="1" applyAlignment="1">
      <alignment horizontal="center"/>
    </xf>
    <xf numFmtId="3" fontId="1" fillId="6" borderId="5" xfId="23" applyNumberFormat="1" applyFont="1" applyBorder="1" applyAlignment="1">
      <alignment vertical="center" wrapText="1"/>
    </xf>
    <xf numFmtId="0" fontId="81" fillId="0" borderId="0" xfId="0" applyFont="1"/>
    <xf numFmtId="0" fontId="30" fillId="0" borderId="2" xfId="0" applyFont="1" applyBorder="1" applyAlignment="1">
      <alignment horizontal="center" vertical="center" wrapText="1"/>
    </xf>
    <xf numFmtId="0" fontId="13" fillId="0" borderId="3" xfId="12" applyFont="1" applyFill="1" applyBorder="1" applyAlignment="1">
      <alignment horizontal="center" vertical="center" wrapText="1"/>
    </xf>
    <xf numFmtId="0" fontId="15" fillId="0" borderId="0" xfId="4" applyFont="1" applyAlignment="1">
      <alignment vertical="center" wrapText="1"/>
    </xf>
    <xf numFmtId="0" fontId="82" fillId="0" borderId="1" xfId="0" applyFont="1" applyBorder="1" applyAlignment="1">
      <alignment horizontal="center" vertical="center"/>
    </xf>
    <xf numFmtId="0" fontId="82" fillId="0" borderId="2" xfId="0" applyFont="1" applyBorder="1" applyAlignment="1">
      <alignment horizontal="center" vertical="center"/>
    </xf>
    <xf numFmtId="0" fontId="82" fillId="0" borderId="3" xfId="0" applyFont="1" applyBorder="1" applyAlignment="1">
      <alignment horizontal="center" vertical="center"/>
    </xf>
    <xf numFmtId="0" fontId="83" fillId="0" borderId="0" xfId="0" applyFont="1"/>
    <xf numFmtId="0" fontId="15" fillId="0" borderId="0" xfId="0" applyFont="1"/>
    <xf numFmtId="0" fontId="15" fillId="0" borderId="0" xfId="0" applyFont="1" applyAlignment="1">
      <alignment vertical="center"/>
    </xf>
    <xf numFmtId="0" fontId="84" fillId="0" borderId="0" xfId="0" applyFont="1" applyAlignment="1">
      <alignment vertical="center"/>
    </xf>
    <xf numFmtId="0" fontId="84" fillId="0" borderId="0" xfId="0" applyFont="1" applyAlignment="1">
      <alignment vertical="center" wrapText="1"/>
    </xf>
    <xf numFmtId="0" fontId="15" fillId="0" borderId="0" xfId="0" applyFont="1" applyAlignment="1">
      <alignment vertical="center" wrapText="1"/>
    </xf>
    <xf numFmtId="0" fontId="21" fillId="0" borderId="0" xfId="0" applyFont="1" applyAlignment="1">
      <alignment vertical="center" wrapText="1"/>
    </xf>
    <xf numFmtId="0" fontId="85" fillId="0" borderId="0" xfId="0" applyFont="1" applyAlignment="1">
      <alignment wrapText="1"/>
    </xf>
    <xf numFmtId="0" fontId="21" fillId="0" borderId="0" xfId="0" applyFont="1" applyAlignment="1">
      <alignment vertical="top"/>
    </xf>
    <xf numFmtId="0" fontId="86" fillId="0" borderId="0" xfId="0" applyFont="1" applyAlignment="1">
      <alignment vertical="center"/>
    </xf>
    <xf numFmtId="0" fontId="84" fillId="0" borderId="22" xfId="0" applyFont="1" applyBorder="1" applyAlignment="1">
      <alignment vertical="center"/>
    </xf>
    <xf numFmtId="0" fontId="21" fillId="0" borderId="0" xfId="0" applyFont="1" applyAlignment="1">
      <alignment vertical="center"/>
    </xf>
    <xf numFmtId="0" fontId="15" fillId="0" borderId="0" xfId="0" applyFont="1" applyAlignment="1">
      <alignment vertical="top"/>
    </xf>
    <xf numFmtId="0" fontId="84" fillId="0" borderId="0" xfId="0" applyFont="1" applyAlignment="1">
      <alignment vertical="top"/>
    </xf>
    <xf numFmtId="4" fontId="9" fillId="0" borderId="0" xfId="20" applyNumberFormat="1" applyFont="1" applyFill="1" applyBorder="1" applyAlignment="1">
      <alignment horizontal="left" vertical="center"/>
    </xf>
    <xf numFmtId="4" fontId="17" fillId="0" borderId="0" xfId="21" applyNumberFormat="1" applyFont="1" applyFill="1" applyBorder="1" applyAlignment="1">
      <alignment horizontal="left" vertical="center"/>
    </xf>
    <xf numFmtId="0" fontId="14" fillId="0" borderId="0" xfId="0" applyFont="1"/>
  </cellXfs>
  <cellStyles count="83">
    <cellStyle name="20 % - Accent1" xfId="59" builtinId="30" customBuiltin="1"/>
    <cellStyle name="20 % - Accent2" xfId="63" builtinId="34" customBuiltin="1"/>
    <cellStyle name="20 % - Accent3" xfId="67" builtinId="38" customBuiltin="1"/>
    <cellStyle name="20 % - Accent4" xfId="71" builtinId="42" customBuiltin="1"/>
    <cellStyle name="20 % - Accent5" xfId="75" builtinId="46" customBuiltin="1"/>
    <cellStyle name="20 % - Accent6" xfId="79" builtinId="50" customBuiltin="1"/>
    <cellStyle name="40 % - Accent1" xfId="60" builtinId="31" customBuiltin="1"/>
    <cellStyle name="40 % - Accent2" xfId="64" builtinId="35" customBuiltin="1"/>
    <cellStyle name="40 % - Accent2 3" xfId="13" xr:uid="{00000000-0005-0000-0000-00000D000000}"/>
    <cellStyle name="40 % - Accent2 3 6" xfId="20" xr:uid="{00000000-0005-0000-0000-000014000000}"/>
    <cellStyle name="40 % - Accent3" xfId="68" builtinId="39" customBuiltin="1"/>
    <cellStyle name="40 % - Accent4" xfId="72" builtinId="43" customBuiltin="1"/>
    <cellStyle name="40 % - Accent4 3" xfId="16" xr:uid="{00000000-0005-0000-0000-000010000000}"/>
    <cellStyle name="40 % - Accent4 3 2" xfId="23" xr:uid="{00000000-0005-0000-0000-000017000000}"/>
    <cellStyle name="40 % - Accent5" xfId="76" builtinId="47" customBuiltin="1"/>
    <cellStyle name="40 % - Accent5 3" xfId="15" xr:uid="{00000000-0005-0000-0000-00000F000000}"/>
    <cellStyle name="40 % - Accent5 3 3" xfId="21" xr:uid="{00000000-0005-0000-0000-000015000000}"/>
    <cellStyle name="40 % - Accent6" xfId="80" builtinId="51" customBuiltin="1"/>
    <cellStyle name="60 % - Accent1" xfId="61" builtinId="32" customBuiltin="1"/>
    <cellStyle name="60 % - Accent2" xfId="65" builtinId="36" customBuiltin="1"/>
    <cellStyle name="60 % - Accent3" xfId="69" builtinId="40" customBuiltin="1"/>
    <cellStyle name="60 % - Accent3 3" xfId="14" xr:uid="{00000000-0005-0000-0000-00000E000000}"/>
    <cellStyle name="60 % - Accent4" xfId="73" builtinId="44" customBuiltin="1"/>
    <cellStyle name="60 % - Accent5" xfId="77" builtinId="48" customBuiltin="1"/>
    <cellStyle name="60 % - Accent6" xfId="81" builtinId="52" customBuiltin="1"/>
    <cellStyle name="Accent1" xfId="58" builtinId="29" customBuiltin="1"/>
    <cellStyle name="Accent2" xfId="62" builtinId="33" customBuiltin="1"/>
    <cellStyle name="Accent3" xfId="66" builtinId="37" customBuiltin="1"/>
    <cellStyle name="Accent4" xfId="70" builtinId="41" customBuiltin="1"/>
    <cellStyle name="Accent5" xfId="74" builtinId="45" customBuiltin="1"/>
    <cellStyle name="Accent5 3" xfId="12" xr:uid="{00000000-0005-0000-0000-00000C000000}"/>
    <cellStyle name="Accent5 3 3" xfId="19" xr:uid="{00000000-0005-0000-0000-000013000000}"/>
    <cellStyle name="Accent6" xfId="78" builtinId="49" customBuiltin="1"/>
    <cellStyle name="AltavenBalAccount" xfId="27" xr:uid="{00000000-0005-0000-0000-00001B000000}"/>
    <cellStyle name="AltavenBalData" xfId="28" xr:uid="{00000000-0005-0000-0000-00001C000000}"/>
    <cellStyle name="AltavenBalLdesc" xfId="29" xr:uid="{00000000-0005-0000-0000-00001D000000}"/>
    <cellStyle name="AltavenBalPercent" xfId="30" xr:uid="{00000000-0005-0000-0000-00001E000000}"/>
    <cellStyle name="AltavenHeader" xfId="31" xr:uid="{00000000-0005-0000-0000-00001F000000}"/>
    <cellStyle name="AltavenPackData" xfId="32" xr:uid="{00000000-0005-0000-0000-000020000000}"/>
    <cellStyle name="AltavenPackDataLdesc" xfId="33" xr:uid="{00000000-0005-0000-0000-000021000000}"/>
    <cellStyle name="AltavenPackPercent" xfId="34" xr:uid="{00000000-0005-0000-0000-000022000000}"/>
    <cellStyle name="Avertissement" xfId="44" builtinId="11" customBuiltin="1"/>
    <cellStyle name="Calcul" xfId="51" builtinId="22" customBuiltin="1"/>
    <cellStyle name="Cellule liée" xfId="53" builtinId="24" customBuiltin="1"/>
    <cellStyle name="Entrée" xfId="49" builtinId="20" customBuiltin="1"/>
    <cellStyle name="Hyperlink 3" xfId="36" xr:uid="{00000000-0005-0000-0000-000024000000}"/>
    <cellStyle name="Insatisfaisant" xfId="56" builtinId="27" customBuiltin="1"/>
    <cellStyle name="Lien hypertexte" xfId="10" builtinId="8" customBuiltin="1"/>
    <cellStyle name="Lien hypertexte visité" xfId="42" builtinId="9" customBuiltin="1"/>
    <cellStyle name="Milliers" xfId="37" builtinId="3" customBuiltin="1"/>
    <cellStyle name="Milliers [0]" xfId="40" builtinId="6" customBuiltin="1"/>
    <cellStyle name="Milliers 2" xfId="35" xr:uid="{00000000-0005-0000-0000-000023000000}"/>
    <cellStyle name="Monétaire" xfId="38" builtinId="4" customBuiltin="1"/>
    <cellStyle name="Monétaire [0]" xfId="41" builtinId="7" customBuiltin="1"/>
    <cellStyle name="Neutre" xfId="57" builtinId="28" customBuiltin="1"/>
    <cellStyle name="Normal" xfId="0" builtinId="0" customBuiltin="1"/>
    <cellStyle name="Normal 2" xfId="1" xr:uid="{00000000-0005-0000-0000-000001000000}"/>
    <cellStyle name="Normal 2 11" xfId="26" xr:uid="{00000000-0005-0000-0000-00001A000000}"/>
    <cellStyle name="Normal 21" xfId="7" xr:uid="{00000000-0005-0000-0000-000007000000}"/>
    <cellStyle name="Normal 43" xfId="24" xr:uid="{00000000-0005-0000-0000-000018000000}"/>
    <cellStyle name="Normal 44" xfId="25" xr:uid="{00000000-0005-0000-0000-000019000000}"/>
    <cellStyle name="Normal 6" xfId="2" xr:uid="{00000000-0005-0000-0000-000002000000}"/>
    <cellStyle name="Normal 7" xfId="3" xr:uid="{00000000-0005-0000-0000-000003000000}"/>
    <cellStyle name="Normal 7 2" xfId="4" xr:uid="{00000000-0005-0000-0000-000004000000}"/>
    <cellStyle name="Normal 8" xfId="5" xr:uid="{00000000-0005-0000-0000-000005000000}"/>
    <cellStyle name="Normal 9" xfId="6" xr:uid="{00000000-0005-0000-0000-000006000000}"/>
    <cellStyle name="Normal_Bilan-Passif" xfId="17" xr:uid="{00000000-0005-0000-0000-000011000000}"/>
    <cellStyle name="Normal_Compte de résultat" xfId="22" xr:uid="{00000000-0005-0000-0000-000016000000}"/>
    <cellStyle name="Note" xfId="43" builtinId="10" customBuiltin="1"/>
    <cellStyle name="Pourcentage" xfId="39" builtinId="5" customBuiltin="1"/>
    <cellStyle name="Satisfaisant" xfId="55" builtinId="26" customBuiltin="1"/>
    <cellStyle name="Sortie" xfId="50" builtinId="21" customBuiltin="1"/>
    <cellStyle name="Texte explicatif" xfId="82" builtinId="53" customBuiltin="1"/>
    <cellStyle name="Title 2" xfId="8" xr:uid="{00000000-0005-0000-0000-000008000000}"/>
    <cellStyle name="Titre" xfId="9" builtinId="15" customBuiltin="1"/>
    <cellStyle name="Titre 1" xfId="45" builtinId="16" customBuiltin="1"/>
    <cellStyle name="Titre 1 3" xfId="11" xr:uid="{00000000-0005-0000-0000-00000B000000}"/>
    <cellStyle name="Titre 1 3 3" xfId="18" xr:uid="{00000000-0005-0000-0000-000012000000}"/>
    <cellStyle name="Titre 2" xfId="46" builtinId="17" customBuiltin="1"/>
    <cellStyle name="Titre 3" xfId="47" builtinId="18" customBuiltin="1"/>
    <cellStyle name="Titre 4" xfId="48" builtinId="19" customBuiltin="1"/>
    <cellStyle name="Total" xfId="54" builtinId="25" customBuiltin="1"/>
    <cellStyle name="Vérification" xfId="52" builtinId="23"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4.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0</xdr:colOff>
      <xdr:row>7</xdr:row>
      <xdr:rowOff>123825</xdr:rowOff>
    </xdr:from>
    <xdr:ext cx="5876925" cy="8365753"/>
    <xdr:sp macro="" textlink="">
      <xdr:nvSpPr>
        <xdr:cNvPr id="8" name="Rectangle 7">
          <a:extLst>
            <a:ext uri="{FF2B5EF4-FFF2-40B4-BE49-F238E27FC236}">
              <a16:creationId xmlns:a16="http://schemas.microsoft.com/office/drawing/2014/main" id="{00000000-0008-0000-0000-000008000000}"/>
            </a:ext>
          </a:extLst>
        </xdr:cNvPr>
        <xdr:cNvSpPr/>
      </xdr:nvSpPr>
      <xdr:spPr>
        <a:xfrm>
          <a:off x="8924924" y="1219198"/>
          <a:ext cx="5876925" cy="8365753"/>
        </a:xfrm>
        <a:prstGeom prst="rect">
          <a:avLst/>
        </a:prstGeom>
        <a:solidFill>
          <a:srgbClr val="EAF0F6"/>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spAutoFit/>
        </a:bodyPr>
        <a:lstStyle/>
        <a:p>
          <a:pPr algn="l"/>
          <a:r>
            <a:rPr lang="fr-FR" sz="1100" b="1" baseline="0">
              <a:solidFill>
                <a:srgbClr val="0070C0"/>
              </a:solidFill>
            </a:rPr>
            <a:t>Pensez à consulter le mode opératoire (dernière feuille de ce fichier)</a:t>
          </a:r>
          <a:endParaRPr lang="fr-FR" sz="1100" b="1">
            <a:solidFill>
              <a:srgbClr val="0070C0"/>
            </a:solidFill>
          </a:endParaRPr>
        </a:p>
        <a:p>
          <a:pPr algn="l"/>
          <a:endParaRPr lang="fr-FR" sz="1100" b="1">
            <a:solidFill>
              <a:srgbClr val="0070C0"/>
            </a:solidFill>
          </a:endParaRPr>
        </a:p>
        <a:p>
          <a:pPr algn="l"/>
          <a:r>
            <a:rPr lang="fr-FR" sz="1100" b="1">
              <a:solidFill>
                <a:srgbClr val="0070C0"/>
              </a:solidFill>
            </a:rPr>
            <a:t>Le saviez-vous ?</a:t>
          </a:r>
        </a:p>
        <a:p>
          <a:pPr lvl="1" algn="l"/>
          <a:r>
            <a:rPr lang="fr-FR" sz="1100" b="1">
              <a:solidFill>
                <a:schemeClr val="tx1">
                  <a:lumMod val="50000"/>
                  <a:lumOff val="50000"/>
                </a:schemeClr>
              </a:solidFill>
            </a:rPr>
            <a:t>Possibilité de reprise de la</a:t>
          </a:r>
          <a:r>
            <a:rPr lang="fr-FR" sz="1100" b="1" baseline="0">
              <a:solidFill>
                <a:schemeClr val="tx1">
                  <a:lumMod val="50000"/>
                  <a:lumOff val="50000"/>
                </a:schemeClr>
              </a:solidFill>
            </a:rPr>
            <a:t> sélection des lignes de l'année précédente pour la feuille R&amp;M :</a:t>
          </a:r>
        </a:p>
        <a:p>
          <a:pPr lvl="1" algn="l"/>
          <a:r>
            <a:rPr lang="fr-FR" sz="1100" b="0" baseline="0">
              <a:solidFill>
                <a:schemeClr val="tx1">
                  <a:lumMod val="50000"/>
                  <a:lumOff val="50000"/>
                </a:schemeClr>
              </a:solidFill>
            </a:rPr>
            <a:t>Reportez-vous au mode opératoire spécifique transmis dans l'email de mise à disposition du modèle ou trouvez le sur le groupe de partage.</a:t>
          </a:r>
          <a:endParaRPr lang="fr-FR" sz="1100" b="0">
            <a:solidFill>
              <a:schemeClr val="tx1">
                <a:lumMod val="50000"/>
                <a:lumOff val="50000"/>
              </a:schemeClr>
            </a:solidFill>
          </a:endParaRPr>
        </a:p>
        <a:p>
          <a:pPr lvl="1" algn="l"/>
          <a:endParaRPr lang="fr-FR" sz="1100" b="1">
            <a:solidFill>
              <a:schemeClr val="tx1">
                <a:lumMod val="50000"/>
                <a:lumOff val="50000"/>
              </a:schemeClr>
            </a:solidFill>
          </a:endParaRPr>
        </a:p>
        <a:p>
          <a:pPr lvl="1" algn="l"/>
          <a:r>
            <a:rPr lang="fr-FR" sz="1100" b="1">
              <a:solidFill>
                <a:schemeClr val="tx1">
                  <a:lumMod val="50000"/>
                  <a:lumOff val="50000"/>
                </a:schemeClr>
              </a:solidFill>
            </a:rPr>
            <a:t>Présentation</a:t>
          </a:r>
          <a:r>
            <a:rPr lang="fr-FR" sz="1100" b="1" baseline="0">
              <a:solidFill>
                <a:schemeClr val="tx1">
                  <a:lumMod val="50000"/>
                  <a:lumOff val="50000"/>
                </a:schemeClr>
              </a:solidFill>
            </a:rPr>
            <a:t> optimisée pour Décembre par défaut</a:t>
          </a:r>
        </a:p>
        <a:p>
          <a:pPr lvl="1" algn="l"/>
          <a:r>
            <a:rPr lang="fr-FR" sz="1100" b="0" baseline="0">
              <a:solidFill>
                <a:schemeClr val="tx1">
                  <a:lumMod val="50000"/>
                  <a:lumOff val="50000"/>
                </a:schemeClr>
              </a:solidFill>
            </a:rPr>
            <a:t>Sur le même principe que pour la plaquette en anglais une vue pour décembre a été réalisée.</a:t>
          </a:r>
        </a:p>
        <a:p>
          <a:pPr lvl="1" algn="l"/>
          <a:r>
            <a:rPr lang="fr-FR" sz="1100" b="0" baseline="0">
              <a:solidFill>
                <a:schemeClr val="tx1">
                  <a:lumMod val="50000"/>
                  <a:lumOff val="50000"/>
                </a:schemeClr>
              </a:solidFill>
            </a:rPr>
            <a:t>C'est celle par défaut de la plaquette quand vous l'ouvrez.</a:t>
          </a:r>
        </a:p>
        <a:p>
          <a:pPr lvl="1" algn="l"/>
          <a:r>
            <a:rPr lang="fr-FR" sz="1100" b="0" baseline="0">
              <a:solidFill>
                <a:schemeClr val="tx1">
                  <a:lumMod val="50000"/>
                  <a:lumOff val="50000"/>
                </a:schemeClr>
              </a:solidFill>
            </a:rPr>
            <a:t>Elle ne montre pas les colonnes qui peuvent être utilisées pour les périodes prévisionnelles comme celle de juin.</a:t>
          </a:r>
        </a:p>
        <a:p>
          <a:pPr lvl="1" algn="l"/>
          <a:r>
            <a:rPr lang="fr-FR" sz="1100" b="0" baseline="0">
              <a:solidFill>
                <a:schemeClr val="tx1">
                  <a:lumMod val="50000"/>
                  <a:lumOff val="50000"/>
                </a:schemeClr>
              </a:solidFill>
            </a:rPr>
            <a:t>Reportez vous au mode opératoire en dernière page pour plus d'information.</a:t>
          </a:r>
          <a:endParaRPr lang="fr-FR" sz="1100" b="0">
            <a:solidFill>
              <a:schemeClr val="tx1">
                <a:lumMod val="50000"/>
                <a:lumOff val="50000"/>
              </a:schemeClr>
            </a:solidFill>
          </a:endParaRPr>
        </a:p>
        <a:p>
          <a:pPr lvl="1" algn="l"/>
          <a:endParaRPr lang="fr-FR" sz="1100" b="1">
            <a:solidFill>
              <a:sysClr val="windowText" lastClr="000000"/>
            </a:solidFill>
          </a:endParaRPr>
        </a:p>
        <a:p>
          <a:pPr lvl="1" algn="l"/>
          <a:r>
            <a:rPr lang="fr-FR" sz="1100" b="1">
              <a:solidFill>
                <a:schemeClr val="tx1">
                  <a:lumMod val="50000"/>
                  <a:lumOff val="50000"/>
                </a:schemeClr>
              </a:solidFill>
            </a:rPr>
            <a:t>Plaquette en anglais : (déjà</a:t>
          </a:r>
          <a:r>
            <a:rPr lang="fr-FR" sz="1100" b="1" baseline="0">
              <a:solidFill>
                <a:schemeClr val="tx1">
                  <a:lumMod val="50000"/>
                  <a:lumOff val="50000"/>
                </a:schemeClr>
              </a:solidFill>
            </a:rPr>
            <a:t> 2 exercices d'utilisation)</a:t>
          </a:r>
          <a:endParaRPr lang="fr-FR" sz="1100" b="1">
            <a:solidFill>
              <a:schemeClr val="tx1">
                <a:lumMod val="50000"/>
                <a:lumOff val="50000"/>
              </a:schemeClr>
            </a:solidFill>
          </a:endParaRPr>
        </a:p>
        <a:p>
          <a:pPr lvl="1" algn="l"/>
          <a:r>
            <a:rPr lang="fr-FR" sz="1100" baseline="0">
              <a:solidFill>
                <a:schemeClr val="tx1">
                  <a:lumMod val="50000"/>
                  <a:lumOff val="50000"/>
                </a:schemeClr>
              </a:solidFill>
            </a:rPr>
            <a:t>La plaquette bénéficie de la possibilité d'avoir une version anglaise (en fonction des traductions transmises pour son contenu).</a:t>
          </a:r>
        </a:p>
        <a:p>
          <a:pPr lvl="1" algn="l"/>
          <a:r>
            <a:rPr lang="fr-FR" sz="1100" baseline="0">
              <a:solidFill>
                <a:schemeClr val="tx1">
                  <a:lumMod val="50000"/>
                  <a:lumOff val="50000"/>
                </a:schemeClr>
              </a:solidFill>
            </a:rPr>
            <a:t>Si besoin reportez-vous à la feuille du mode opératoire en fin de fichier.</a:t>
          </a:r>
        </a:p>
        <a:p>
          <a:pPr algn="l"/>
          <a:endParaRPr lang="fr-FR" sz="1100" baseline="0">
            <a:solidFill>
              <a:schemeClr val="tx1">
                <a:lumMod val="50000"/>
                <a:lumOff val="50000"/>
              </a:schemeClr>
            </a:solidFill>
          </a:endParaRPr>
        </a:p>
        <a:p>
          <a:pPr lvl="1" algn="l"/>
          <a:r>
            <a:rPr lang="fr-FR" sz="1100" b="1" baseline="0">
              <a:solidFill>
                <a:schemeClr val="tx1">
                  <a:lumMod val="50000"/>
                  <a:lumOff val="50000"/>
                </a:schemeClr>
              </a:solidFill>
            </a:rPr>
            <a:t>Compléments Annexe Conseil :</a:t>
          </a:r>
        </a:p>
        <a:p>
          <a:pPr lvl="1" algn="l"/>
          <a:r>
            <a:rPr lang="fr-FR" sz="1100" baseline="0">
              <a:solidFill>
                <a:schemeClr val="tx1">
                  <a:lumMod val="50000"/>
                  <a:lumOff val="50000"/>
                </a:schemeClr>
              </a:solidFill>
            </a:rPr>
            <a:t>L'annexe contient une partie "Cplts Annexe Conseil" pour y renseigner les feuillets complémentaires pour cette partie et faire que votre annexe sur Optim'is soit la plus complète possible.</a:t>
          </a:r>
        </a:p>
        <a:p>
          <a:pPr lvl="2" algn="l"/>
          <a:r>
            <a:rPr lang="fr-FR" sz="1100" baseline="0">
              <a:solidFill>
                <a:schemeClr val="tx1">
                  <a:lumMod val="50000"/>
                  <a:lumOff val="50000"/>
                </a:schemeClr>
              </a:solidFill>
            </a:rPr>
            <a:t>(pour information, si le feuillet passif exigible et actif réalisable a été laissé en renseignement manuel c'est en raison de la complexité de la définition du moins d'un an pour décembre et juin)</a:t>
          </a:r>
        </a:p>
        <a:p>
          <a:pPr algn="l"/>
          <a:endParaRPr lang="fr-FR" sz="1100" baseline="0">
            <a:solidFill>
              <a:schemeClr val="tx1">
                <a:lumMod val="50000"/>
                <a:lumOff val="50000"/>
              </a:schemeClr>
            </a:solidFill>
          </a:endParaRPr>
        </a:p>
        <a:p>
          <a:pPr lvl="1" algn="l"/>
          <a:r>
            <a:rPr lang="fr-FR" sz="1100" b="1" baseline="0">
              <a:solidFill>
                <a:schemeClr val="tx1">
                  <a:lumMod val="50000"/>
                  <a:lumOff val="50000"/>
                </a:schemeClr>
              </a:solidFill>
            </a:rPr>
            <a:t>Validation Tableaux de Financement de l'annexe Optim'is par la Direction Juridique : (Demandez une période de test si nécessaire pour l'évaluer en dehors des périodes de clôture)	</a:t>
          </a:r>
        </a:p>
        <a:p>
          <a:pPr lvl="1" algn="l"/>
          <a:r>
            <a:rPr lang="fr-FR" sz="1100" baseline="0">
              <a:solidFill>
                <a:schemeClr val="tx1">
                  <a:lumMod val="50000"/>
                  <a:lumOff val="50000"/>
                </a:schemeClr>
              </a:solidFill>
            </a:rPr>
            <a:t>Suite aux échanges entre MLAD et Danièle CORRE, responsable Juridique Corporate au sein de la Direction Juridique BYCN, les versions du tableau de financement présentes dans notre modèle d’annexe sur Optim’is sont validées.</a:t>
          </a:r>
        </a:p>
        <a:p>
          <a:pPr lvl="1" algn="l"/>
          <a:r>
            <a:rPr lang="fr-FR" sz="1100" baseline="0">
              <a:solidFill>
                <a:schemeClr val="tx1">
                  <a:lumMod val="50000"/>
                  <a:lumOff val="50000"/>
                </a:schemeClr>
              </a:solidFill>
            </a:rPr>
            <a:t>Les présentations type emplois/ressources peuvent donc être abandonnées.</a:t>
          </a:r>
        </a:p>
        <a:p>
          <a:pPr lvl="1" algn="l"/>
          <a:r>
            <a:rPr lang="fr-FR" sz="1100" baseline="0">
              <a:solidFill>
                <a:schemeClr val="tx1">
                  <a:lumMod val="50000"/>
                  <a:lumOff val="50000"/>
                </a:schemeClr>
              </a:solidFill>
            </a:rPr>
            <a:t>Cela permet donc à chaque société qui le souhaite d’utiliser dès à présent ces modèles. Que ce soit le modèle simplifié ou le modèle détaillé selon son besoin.</a:t>
          </a:r>
        </a:p>
        <a:p>
          <a:pPr lvl="1" algn="l"/>
          <a:endParaRPr lang="fr-FR" sz="1100" baseline="0">
            <a:solidFill>
              <a:schemeClr val="tx1">
                <a:lumMod val="50000"/>
                <a:lumOff val="50000"/>
              </a:schemeClr>
            </a:solidFill>
          </a:endParaRPr>
        </a:p>
        <a:p>
          <a:pPr lvl="1" algn="l"/>
          <a:r>
            <a:rPr lang="fr-FR" sz="1100" baseline="0">
              <a:solidFill>
                <a:schemeClr val="tx1">
                  <a:lumMod val="50000"/>
                  <a:lumOff val="50000"/>
                </a:schemeClr>
              </a:solidFill>
            </a:rPr>
            <a:t>Tous ces contenus complémentaires ont pour but de permettre que l'annexe d'Optim'is soit votre référence pour traiter les sujets liés à l'annexe.</a:t>
          </a:r>
        </a:p>
        <a:p>
          <a:pPr algn="l"/>
          <a:endParaRPr lang="fr-FR" sz="1100" baseline="0">
            <a:solidFill>
              <a:sysClr val="windowText" lastClr="000000"/>
            </a:solidFill>
          </a:endParaRPr>
        </a:p>
        <a:p>
          <a:pPr algn="l"/>
          <a:r>
            <a:rPr lang="fr-FR" sz="1100" b="1" baseline="0">
              <a:solidFill>
                <a:srgbClr val="0070C0"/>
              </a:solidFill>
            </a:rPr>
            <a:t>Retour d'expérience :</a:t>
          </a:r>
        </a:p>
        <a:p>
          <a:pPr algn="l"/>
          <a:r>
            <a:rPr lang="fr-FR" sz="1100" baseline="0">
              <a:solidFill>
                <a:sysClr val="windowText" lastClr="000000"/>
              </a:solidFill>
            </a:rPr>
            <a:t>N''hésitez pas à poser des questions ou signaler toute anomalie ou faute dans le groupe de partage sur Com'Unity Network (Yammer).</a:t>
          </a:r>
        </a:p>
        <a:p>
          <a:pPr algn="l"/>
          <a:r>
            <a:rPr lang="fr-FR" sz="1100" baseline="0">
              <a:solidFill>
                <a:sysClr val="windowText" lastClr="000000"/>
              </a:solidFill>
            </a:rPr>
            <a:t>Vous pouvez aussi noter toute observation pour la transmettre à votre représentant entité pour qu'il puisse la remonter lors du retour d'expérience à la fin de la campagne fiscale. (liste des représentants dans la feuille Tab Fi complexe). </a:t>
          </a:r>
        </a:p>
        <a:p>
          <a:pPr algn="l"/>
          <a:endParaRPr lang="fr-FR" sz="1100" baseline="0">
            <a:solidFill>
              <a:sysClr val="windowText" lastClr="000000"/>
            </a:solidFill>
          </a:endParaRPr>
        </a:p>
        <a:p>
          <a:pPr algn="l"/>
          <a:r>
            <a:rPr lang="fr-FR" sz="1100" b="1" i="1" baseline="0">
              <a:solidFill>
                <a:sysClr val="windowText" lastClr="000000"/>
              </a:solidFill>
            </a:rPr>
            <a:t>Après lecture, vous pouvez supprimer ou déplacer ce texte en cliquant dessus pour qu'il ne soit pas imprimé avec votre page de garde.</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ours%20de%20change"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ilan%20-%20Passif"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CR%20pr&#233;visionnel"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R%20&amp;%20M"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BILAN%201%20PAG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rs de chang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an - Passif"/>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 prévisionnel"/>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 &amp; M"/>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AN 1 PAGE"/>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I42"/>
  <sheetViews>
    <sheetView tabSelected="1" zoomScaleNormal="100" workbookViewId="0">
      <selection activeCell="F36" sqref="F36"/>
    </sheetView>
  </sheetViews>
  <sheetFormatPr baseColWidth="10" defaultColWidth="13.26953125" defaultRowHeight="14.5" x14ac:dyDescent="0.35"/>
  <cols>
    <col min="1" max="7" width="14" style="1" customWidth="1"/>
    <col min="8" max="8" width="14.90625" style="1" customWidth="1"/>
    <col min="9" max="9" width="13.26953125" style="13" customWidth="1"/>
  </cols>
  <sheetData>
    <row r="1" spans="1:9" s="1" customFormat="1" ht="14" x14ac:dyDescent="0.3"/>
    <row r="2" spans="1:9" s="1" customFormat="1" ht="14" x14ac:dyDescent="0.3"/>
    <row r="3" spans="1:9" s="1" customFormat="1" ht="14" x14ac:dyDescent="0.3">
      <c r="A3" s="14"/>
      <c r="B3" s="14"/>
      <c r="C3" s="14"/>
      <c r="D3" s="14"/>
      <c r="E3" s="14"/>
      <c r="F3" s="14"/>
      <c r="G3" s="14"/>
      <c r="H3" s="14"/>
      <c r="I3" s="14"/>
    </row>
    <row r="4" spans="1:9" s="1" customFormat="1" ht="14" x14ac:dyDescent="0.3">
      <c r="I4" s="15"/>
    </row>
    <row r="5" spans="1:9" s="1" customFormat="1" ht="14" x14ac:dyDescent="0.3">
      <c r="I5" s="15"/>
    </row>
    <row r="6" spans="1:9" s="1" customFormat="1" ht="14" x14ac:dyDescent="0.3">
      <c r="I6" s="15"/>
    </row>
    <row r="7" spans="1:9" s="1" customFormat="1" ht="14" x14ac:dyDescent="0.3">
      <c r="I7" s="15"/>
    </row>
    <row r="8" spans="1:9" s="1" customFormat="1" ht="14" x14ac:dyDescent="0.3">
      <c r="I8" s="15"/>
    </row>
    <row r="9" spans="1:9" s="1" customFormat="1" ht="14" x14ac:dyDescent="0.3">
      <c r="I9" s="15"/>
    </row>
    <row r="10" spans="1:9" s="1" customFormat="1" ht="14" x14ac:dyDescent="0.3">
      <c r="I10" s="15"/>
    </row>
    <row r="11" spans="1:9" s="1" customFormat="1" ht="14" x14ac:dyDescent="0.3">
      <c r="I11" s="15"/>
    </row>
    <row r="12" spans="1:9" s="1" customFormat="1" ht="14" x14ac:dyDescent="0.3">
      <c r="I12" s="15"/>
    </row>
    <row r="13" spans="1:9" s="1" customFormat="1" ht="14" x14ac:dyDescent="0.3">
      <c r="I13" s="15"/>
    </row>
    <row r="14" spans="1:9" s="1" customFormat="1" ht="14" x14ac:dyDescent="0.3">
      <c r="I14" s="15"/>
    </row>
    <row r="15" spans="1:9" s="1" customFormat="1" ht="14" x14ac:dyDescent="0.3">
      <c r="I15" s="15"/>
    </row>
    <row r="16" spans="1:9" s="1" customFormat="1" ht="14" x14ac:dyDescent="0.3">
      <c r="I16" s="15"/>
    </row>
    <row r="17" spans="1:9" s="1" customFormat="1" ht="14" x14ac:dyDescent="0.3">
      <c r="A17" s="283"/>
      <c r="B17" s="283"/>
      <c r="C17" s="283"/>
      <c r="D17" s="283"/>
      <c r="E17" s="283"/>
      <c r="F17" s="283"/>
      <c r="G17" s="283"/>
      <c r="H17" s="283"/>
      <c r="I17" s="15"/>
    </row>
    <row r="18" spans="1:9" s="1" customFormat="1" ht="23" x14ac:dyDescent="0.5">
      <c r="A18" s="284" t="e" cm="1">
        <f t="array" aca="1" ref="A18" ca="1">+"FINANCIAL REVIEW "&amp;DATECLOT(3)</f>
        <v>#NAME?</v>
      </c>
      <c r="B18" s="284"/>
      <c r="C18" s="284"/>
      <c r="D18" s="284"/>
      <c r="E18" s="284"/>
      <c r="F18" s="284"/>
      <c r="G18" s="284"/>
      <c r="H18" s="284"/>
      <c r="I18" s="15"/>
    </row>
    <row r="19" spans="1:9" s="1" customFormat="1" ht="18" x14ac:dyDescent="0.4">
      <c r="A19" s="16"/>
      <c r="B19" s="16"/>
      <c r="C19" s="16"/>
      <c r="D19" s="16"/>
      <c r="E19" s="16"/>
      <c r="F19" s="16"/>
      <c r="G19" s="16"/>
      <c r="H19" s="16"/>
      <c r="I19" s="15"/>
    </row>
    <row r="20" spans="1:9" s="1" customFormat="1" ht="18" x14ac:dyDescent="0.4">
      <c r="A20" s="16"/>
      <c r="B20" s="16"/>
      <c r="C20" s="16"/>
      <c r="D20" s="16"/>
      <c r="E20" s="16"/>
      <c r="F20" s="16"/>
      <c r="G20" s="16"/>
      <c r="H20" s="16"/>
      <c r="I20" s="15"/>
    </row>
    <row r="21" spans="1:9" s="1" customFormat="1" ht="18" x14ac:dyDescent="0.4">
      <c r="A21" s="16"/>
      <c r="B21" s="16"/>
      <c r="C21" s="16"/>
      <c r="D21" s="16"/>
      <c r="E21" s="16"/>
      <c r="F21" s="16"/>
      <c r="G21" s="16"/>
      <c r="H21" s="16"/>
      <c r="I21" s="15"/>
    </row>
    <row r="22" spans="1:9" s="1" customFormat="1" ht="18" x14ac:dyDescent="0.4">
      <c r="A22" s="16"/>
      <c r="B22" s="16"/>
      <c r="C22" s="16"/>
      <c r="D22" s="16"/>
      <c r="E22" s="16"/>
      <c r="F22" s="16"/>
      <c r="G22" s="16"/>
      <c r="H22" s="16"/>
      <c r="I22" s="15"/>
    </row>
    <row r="23" spans="1:9" s="1" customFormat="1" ht="18" x14ac:dyDescent="0.4">
      <c r="A23" s="16"/>
      <c r="B23" s="16"/>
      <c r="C23" s="16"/>
      <c r="D23" s="16"/>
      <c r="E23" s="16"/>
      <c r="F23" s="16"/>
      <c r="G23" s="16"/>
      <c r="H23" s="16"/>
      <c r="I23" s="15"/>
    </row>
    <row r="24" spans="1:9" s="1" customFormat="1" ht="14" x14ac:dyDescent="0.3">
      <c r="I24" s="15"/>
    </row>
    <row r="25" spans="1:9" s="1" customFormat="1" ht="14" x14ac:dyDescent="0.3">
      <c r="A25" s="282" t="e">
        <f ca="1">SOCINFO("ldesc")</f>
        <v>#NAME?</v>
      </c>
      <c r="B25" s="282"/>
      <c r="C25" s="282"/>
      <c r="D25" s="282"/>
      <c r="E25" s="282"/>
      <c r="F25" s="282"/>
      <c r="G25" s="282"/>
      <c r="H25" s="282"/>
      <c r="I25" s="15"/>
    </row>
    <row r="26" spans="1:9" s="1" customFormat="1" ht="14" x14ac:dyDescent="0.3">
      <c r="A26" s="17"/>
      <c r="B26" s="17"/>
      <c r="C26" s="17"/>
      <c r="D26" s="17"/>
      <c r="E26" s="17"/>
      <c r="F26" s="17"/>
      <c r="G26" s="17"/>
      <c r="H26" s="17"/>
      <c r="I26" s="15"/>
    </row>
    <row r="27" spans="1:9" s="1" customFormat="1" ht="14" x14ac:dyDescent="0.3">
      <c r="A27" s="282" t="str">
        <f>+IF(ISERROR(VLOOKUP(B26,C39:D41,2,FALSE)),"Désignations FR/GB absente de la liste ci-dessous",VLOOKUP(B26,C39:D41,2,FALSE)&amp;" with a capital of "&amp;TEXT(D35,"### ###")&amp;" €")</f>
        <v>Désignations FR/GB absente de la liste ci-dessous</v>
      </c>
      <c r="B27" s="282"/>
      <c r="C27" s="282"/>
      <c r="D27" s="282"/>
      <c r="E27" s="282"/>
      <c r="F27" s="282"/>
      <c r="G27" s="282"/>
      <c r="H27" s="282"/>
      <c r="I27" s="15"/>
    </row>
    <row r="28" spans="1:9" s="1" customFormat="1" ht="14" x14ac:dyDescent="0.3">
      <c r="A28" s="17"/>
      <c r="B28" s="17"/>
      <c r="C28" s="17"/>
      <c r="D28" s="17"/>
      <c r="E28" s="17"/>
      <c r="F28" s="17"/>
      <c r="G28" s="17"/>
      <c r="H28" s="17"/>
      <c r="I28" s="15"/>
    </row>
    <row r="29" spans="1:9" s="1" customFormat="1" ht="14" x14ac:dyDescent="0.3">
      <c r="A29" s="282" t="e">
        <f ca="1">SOCINFO("adresse")</f>
        <v>#NAME?</v>
      </c>
      <c r="B29" s="282"/>
      <c r="C29" s="282"/>
      <c r="D29" s="282"/>
      <c r="E29" s="282"/>
      <c r="F29" s="282"/>
      <c r="G29" s="282"/>
      <c r="H29" s="282"/>
      <c r="I29" s="15"/>
    </row>
    <row r="30" spans="1:9" s="1" customFormat="1" ht="14" x14ac:dyDescent="0.3">
      <c r="A30" s="17"/>
      <c r="B30" s="17"/>
      <c r="C30" s="17"/>
      <c r="D30" s="17"/>
      <c r="E30" s="17"/>
      <c r="F30" s="17"/>
      <c r="G30" s="17"/>
      <c r="H30" s="17"/>
      <c r="I30" s="15"/>
    </row>
    <row r="31" spans="1:9" s="1" customFormat="1" ht="14" x14ac:dyDescent="0.3">
      <c r="A31" s="282" t="e">
        <f ca="1">"DATE DE CLOTURE : "&amp;DATECLOT()</f>
        <v>#NAME?</v>
      </c>
      <c r="B31" s="282"/>
      <c r="C31" s="282"/>
      <c r="D31" s="282"/>
      <c r="E31" s="282"/>
      <c r="F31" s="282"/>
      <c r="G31" s="282"/>
      <c r="H31" s="282"/>
      <c r="I31" s="15"/>
    </row>
    <row r="32" spans="1:9" s="1" customFormat="1" ht="14" x14ac:dyDescent="0.3">
      <c r="A32" s="17"/>
      <c r="B32" s="17"/>
      <c r="C32" s="17"/>
      <c r="D32" s="17"/>
      <c r="E32" s="17"/>
      <c r="F32" s="17"/>
      <c r="G32" s="17"/>
      <c r="H32" s="17"/>
      <c r="I32" s="15"/>
    </row>
    <row r="33" spans="1:9" s="1" customFormat="1" ht="14" x14ac:dyDescent="0.3">
      <c r="A33" s="15"/>
      <c r="B33" s="15"/>
      <c r="C33" s="15"/>
      <c r="D33" s="15"/>
      <c r="E33" s="15"/>
      <c r="F33" s="15"/>
      <c r="G33" s="15"/>
      <c r="H33" s="15"/>
      <c r="I33" s="15"/>
    </row>
    <row r="35" spans="1:9" x14ac:dyDescent="0.35">
      <c r="F35" s="1" t="s">
        <v>165</v>
      </c>
    </row>
    <row r="36" spans="1:9" s="1" customFormat="1" ht="14" x14ac:dyDescent="0.3">
      <c r="C36" s="18"/>
      <c r="F36" s="1" t="s">
        <v>166</v>
      </c>
    </row>
    <row r="37" spans="1:9" s="1" customFormat="1" ht="14" x14ac:dyDescent="0.3">
      <c r="A37" s="19"/>
    </row>
    <row r="38" spans="1:9" s="1" customFormat="1" ht="14" x14ac:dyDescent="0.3">
      <c r="A38" s="19"/>
    </row>
    <row r="39" spans="1:9" s="1" customFormat="1" ht="14" x14ac:dyDescent="0.3"/>
    <row r="40" spans="1:9" s="1" customFormat="1" ht="14" x14ac:dyDescent="0.3"/>
    <row r="41" spans="1:9" s="1" customFormat="1" ht="14" x14ac:dyDescent="0.3"/>
    <row r="42" spans="1:9" s="1" customFormat="1" ht="14" x14ac:dyDescent="0.3"/>
  </sheetData>
  <mergeCells count="6">
    <mergeCell ref="A31:H31"/>
    <mergeCell ref="A17:H17"/>
    <mergeCell ref="A18:H18"/>
    <mergeCell ref="A25:H25"/>
    <mergeCell ref="A27:H27"/>
    <mergeCell ref="A29:H29"/>
  </mergeCells>
  <pageMargins left="0.70138889999999998" right="0.70138889999999998" top="0.74861109999999997" bottom="0.74861109999999997" header="0.2993056" footer="0.2993056"/>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10"/>
  <sheetViews>
    <sheetView zoomScaleNormal="100" zoomScalePageLayoutView="90" workbookViewId="0">
      <selection activeCell="A11" sqref="A11"/>
    </sheetView>
  </sheetViews>
  <sheetFormatPr baseColWidth="10" defaultColWidth="12" defaultRowHeight="14" x14ac:dyDescent="0.3"/>
  <cols>
    <col min="1" max="1" width="4.7265625" style="2" customWidth="1"/>
    <col min="2" max="2" width="4.6328125" style="2" customWidth="1"/>
    <col min="3" max="3" width="5.08984375" style="2" customWidth="1"/>
    <col min="4" max="4" width="5.453125" style="2" customWidth="1"/>
    <col min="5" max="6" width="5.36328125" style="2" customWidth="1"/>
    <col min="7" max="7" width="5.6328125" style="2" customWidth="1"/>
    <col min="8" max="8" width="44.453125" style="2" customWidth="1"/>
    <col min="9" max="9" width="5.26953125" style="2" customWidth="1"/>
    <col min="10" max="16384" width="12" style="2"/>
  </cols>
  <sheetData>
    <row r="2" spans="1:9" ht="14.25" customHeight="1" x14ac:dyDescent="0.3">
      <c r="A2" s="285" t="s">
        <v>167</v>
      </c>
      <c r="B2" s="285"/>
      <c r="C2" s="285"/>
      <c r="D2" s="285"/>
      <c r="E2" s="285"/>
      <c r="F2" s="285"/>
      <c r="G2" s="285"/>
      <c r="H2" s="285"/>
      <c r="I2" s="285"/>
    </row>
    <row r="3" spans="1:9" x14ac:dyDescent="0.3">
      <c r="A3" s="285"/>
      <c r="B3" s="285"/>
      <c r="C3" s="285"/>
      <c r="D3" s="285"/>
      <c r="E3" s="285"/>
      <c r="F3" s="285"/>
      <c r="G3" s="285"/>
      <c r="H3" s="285"/>
      <c r="I3" s="285"/>
    </row>
    <row r="6" spans="1:9" ht="14.5" x14ac:dyDescent="0.35">
      <c r="A6" s="20" t="s">
        <v>0</v>
      </c>
      <c r="I6" s="20" t="s">
        <v>1</v>
      </c>
    </row>
    <row r="7" spans="1:9" ht="14.5" x14ac:dyDescent="0.35">
      <c r="A7" s="20" t="e">
        <f>+VLOOKUP(B8,$B$71:$K$115,10,)</f>
        <v>#N/A</v>
      </c>
      <c r="I7" s="20" t="s">
        <v>2</v>
      </c>
    </row>
    <row r="8" spans="1:9" ht="14.5" x14ac:dyDescent="0.35">
      <c r="A8" s="20" t="s">
        <v>3</v>
      </c>
      <c r="I8" s="20" t="s">
        <v>4</v>
      </c>
    </row>
    <row r="9" spans="1:9" ht="14.5" x14ac:dyDescent="0.35">
      <c r="A9" s="20" t="e">
        <f>+VLOOKUP(B10,$B$71:$K$115,10,)</f>
        <v>#N/A</v>
      </c>
      <c r="I9" s="20" t="s">
        <v>5</v>
      </c>
    </row>
    <row r="10" spans="1:9" ht="14.5" x14ac:dyDescent="0.35">
      <c r="A10" s="20" t="e">
        <f>+VLOOKUP(B16,$B$71:$K$115,10,)</f>
        <v>#N/A</v>
      </c>
      <c r="I10" s="20" t="s">
        <v>6</v>
      </c>
    </row>
  </sheetData>
  <mergeCells count="1">
    <mergeCell ref="A2:I3"/>
  </mergeCells>
  <hyperlinks>
    <hyperlink ref="A6" location="Sommaire!A1" tooltip="Sommaire" display="Sommaire" xr:uid="{00000000-0004-0000-0100-000000000000}"/>
    <hyperlink ref="I6" location="Sommaire!A1" tooltip="Sommaire" display="1" xr:uid="{00000000-0004-0000-0100-000001000000}"/>
    <hyperlink ref="A7" location="'Bilan-Actif'!A1" tooltip="Bilan-Actif" display="Bilan-Actif" xr:uid="{00000000-0004-0000-0100-000002000000}"/>
    <hyperlink ref="I7" location="'Bilan-Actif'!A1" tooltip="Bilan-Actif" display="2" xr:uid="{00000000-0004-0000-0100-000003000000}"/>
    <hyperlink ref="A8" location="'Bilan-Passif'!A1" tooltip="Bilan-Passif" display="Bilan-Passif" xr:uid="{00000000-0004-0000-0100-000004000000}"/>
    <hyperlink ref="I8" location="'Bilan-Passif'!A1" tooltip="Bilan-Passif" display="3" xr:uid="{00000000-0004-0000-0100-000005000000}"/>
    <hyperlink ref="A9" location="'Compte de résultat'!A1" tooltip="Compte de résultat" display="Compte de résultat" xr:uid="{00000000-0004-0000-0100-000006000000}"/>
    <hyperlink ref="I9" location="'Compte de résultat'!A1" tooltip="Compte de résultat" display="4" xr:uid="{00000000-0004-0000-0100-000007000000}"/>
    <hyperlink ref="A10" location="'TAB. FI.PREPARATION'!A1" tooltip="TAB. FI.PREPARATION" display="TAB. FI.PREPARATION" xr:uid="{00000000-0004-0000-0100-000008000000}"/>
    <hyperlink ref="I10" location="'TAB. FI.PREPARATION'!A1" tooltip="TAB. FI.PREPARATION" display="5" xr:uid="{00000000-0004-0000-0100-000009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5:M192"/>
  <sheetViews>
    <sheetView topLeftCell="A18" zoomScale="110" zoomScaleNormal="110" workbookViewId="0">
      <selection activeCell="A10" sqref="A10:A57"/>
    </sheetView>
  </sheetViews>
  <sheetFormatPr baseColWidth="10" defaultColWidth="13.6328125" defaultRowHeight="14" x14ac:dyDescent="0.3"/>
  <cols>
    <col min="1" max="1" width="47" style="3" customWidth="1"/>
    <col min="2" max="2" width="18.90625" style="21" customWidth="1"/>
    <col min="3" max="3" width="17.90625" style="3" customWidth="1"/>
    <col min="4" max="4" width="20" style="21" customWidth="1"/>
    <col min="5" max="5" width="21.26953125" style="21" customWidth="1"/>
    <col min="6" max="6" width="16.26953125" style="21" customWidth="1"/>
    <col min="7" max="7" width="15.6328125" style="21" customWidth="1"/>
    <col min="8" max="9" width="9.90625" style="22" customWidth="1"/>
    <col min="10" max="12" width="9.90625" style="21" customWidth="1"/>
    <col min="13" max="16384" width="13.6328125" style="21"/>
  </cols>
  <sheetData>
    <row r="5" spans="1:9" s="3" customFormat="1" ht="16.5" x14ac:dyDescent="0.3">
      <c r="A5" s="23" t="e">
        <f ca="1">SOCINFO("ldesc")</f>
        <v>#NAME?</v>
      </c>
      <c r="B5" s="24"/>
      <c r="C5" s="24"/>
      <c r="D5" s="24"/>
      <c r="E5" s="24"/>
      <c r="H5" s="25"/>
      <c r="I5" s="25"/>
    </row>
    <row r="6" spans="1:9" s="3" customFormat="1" ht="16.5" x14ac:dyDescent="0.3">
      <c r="A6" s="26" t="e" cm="1">
        <f t="array" aca="1" ref="A6" ca="1">"Balance sheet as at "&amp;DATECLOT()</f>
        <v>#NAME?</v>
      </c>
      <c r="B6" s="27"/>
      <c r="C6" s="28"/>
      <c r="D6" s="28"/>
      <c r="E6" s="28"/>
      <c r="H6" s="25"/>
      <c r="I6" s="25"/>
    </row>
    <row r="7" spans="1:9" s="3" customFormat="1" x14ac:dyDescent="0.3">
      <c r="A7" s="24"/>
      <c r="B7" s="24"/>
      <c r="C7" s="24"/>
      <c r="D7" s="29"/>
      <c r="E7" s="29"/>
      <c r="H7" s="25"/>
      <c r="I7" s="25"/>
    </row>
    <row r="8" spans="1:9" s="3" customFormat="1" ht="42" x14ac:dyDescent="0.3">
      <c r="A8" s="30" t="s">
        <v>7</v>
      </c>
      <c r="B8" s="288" t="s">
        <v>208</v>
      </c>
      <c r="C8" s="288" t="s">
        <v>209</v>
      </c>
      <c r="D8" s="31" t="e">
        <f ca="1">+"Net "&amp;DATECLOT(0)</f>
        <v>#NAME?</v>
      </c>
      <c r="E8" s="289" t="e">
        <f ca="1">+"Net "&amp;PHASE.DATECLOT("DEC-PREV")</f>
        <v>#NAME?</v>
      </c>
      <c r="H8" s="25"/>
      <c r="I8" s="25"/>
    </row>
    <row r="9" spans="1:9" s="4" customFormat="1" ht="14.5" x14ac:dyDescent="0.35">
      <c r="A9" s="21"/>
      <c r="B9" s="32"/>
      <c r="C9" s="32"/>
      <c r="D9" s="32"/>
      <c r="E9" s="33"/>
      <c r="H9" s="21"/>
      <c r="I9" s="21"/>
    </row>
    <row r="10" spans="1:9" s="3" customFormat="1" x14ac:dyDescent="0.3">
      <c r="A10" s="295" t="s">
        <v>168</v>
      </c>
      <c r="B10" s="34" t="e">
        <f ca="1">FISCA("2050_AA")</f>
        <v>#NAME?</v>
      </c>
      <c r="C10" s="35"/>
      <c r="D10" s="34" t="e">
        <f ca="1">FISCA("2050_AA")</f>
        <v>#NAME?</v>
      </c>
      <c r="E10" s="36" t="e">
        <f ca="1">PHASE.FISCA("DEC-PREV","2050_AA")</f>
        <v>#NAME?</v>
      </c>
      <c r="H10" s="25"/>
      <c r="I10" s="25"/>
    </row>
    <row r="11" spans="1:9" s="3" customFormat="1" x14ac:dyDescent="0.3">
      <c r="A11" s="295"/>
      <c r="B11" s="37"/>
      <c r="C11" s="38"/>
      <c r="D11" s="37"/>
      <c r="E11" s="37"/>
      <c r="H11" s="25"/>
      <c r="I11" s="25"/>
    </row>
    <row r="12" spans="1:9" s="3" customFormat="1" x14ac:dyDescent="0.3">
      <c r="A12" s="295"/>
      <c r="B12" s="37" t="e">
        <f ca="1">FISCA("2050_AB")</f>
        <v>#NAME?</v>
      </c>
      <c r="C12" s="37" t="e">
        <f ca="1">FISCA("2050_AC")</f>
        <v>#NAME?</v>
      </c>
      <c r="D12" s="37" t="e">
        <f ca="1">FISCA("2050_ABNet")</f>
        <v>#NAME?</v>
      </c>
      <c r="E12" s="36" t="e">
        <f ca="1">PHASE.FISCA("DEC-PREV","2050_ABNet")</f>
        <v>#NAME?</v>
      </c>
      <c r="H12" s="25"/>
      <c r="I12" s="25"/>
    </row>
    <row r="13" spans="1:9" s="3" customFormat="1" x14ac:dyDescent="0.3">
      <c r="A13" s="295"/>
      <c r="B13" s="37" t="e">
        <f ca="1">FISCA("2050_CX")</f>
        <v>#NAME?</v>
      </c>
      <c r="C13" s="37" t="e">
        <f ca="1">FISCA("2050_CQ")</f>
        <v>#NAME?</v>
      </c>
      <c r="D13" s="37" t="e">
        <f ca="1">FISCA("2050_CXNet")</f>
        <v>#NAME?</v>
      </c>
      <c r="E13" s="36" t="e">
        <f ca="1">PHASE.FISCA("DEC-PREV","2050_CXNet")</f>
        <v>#NAME?</v>
      </c>
      <c r="H13" s="25"/>
      <c r="I13" s="25"/>
    </row>
    <row r="14" spans="1:9" s="3" customFormat="1" x14ac:dyDescent="0.3">
      <c r="A14" s="295" t="s">
        <v>169</v>
      </c>
      <c r="B14" s="37" t="e">
        <f ca="1">FISCA("2050_AF")</f>
        <v>#NAME?</v>
      </c>
      <c r="C14" s="37" t="e">
        <f ca="1">FISCA("2050_AG")</f>
        <v>#NAME?</v>
      </c>
      <c r="D14" s="37" t="e">
        <f ca="1">FISCA("2050_AFNet")</f>
        <v>#NAME?</v>
      </c>
      <c r="E14" s="36" t="e">
        <f ca="1">PHASE.FISCA("DEC-PREV","2050_AFNET")</f>
        <v>#NAME?</v>
      </c>
      <c r="H14" s="25"/>
      <c r="I14" s="25"/>
    </row>
    <row r="15" spans="1:9" s="3" customFormat="1" x14ac:dyDescent="0.3">
      <c r="A15" s="295" t="s">
        <v>170</v>
      </c>
      <c r="B15" s="37" t="e">
        <f ca="1">FISCA("2050_AH")</f>
        <v>#NAME?</v>
      </c>
      <c r="C15" s="37" t="e">
        <f ca="1">FISCA("2050_AI")</f>
        <v>#NAME?</v>
      </c>
      <c r="D15" s="37" t="e">
        <f ca="1">FISCA("2050_AHNet")</f>
        <v>#NAME?</v>
      </c>
      <c r="E15" s="36" t="e">
        <f ca="1">PHASE.FISCA("DEC-PREV","2050_AHNet")</f>
        <v>#NAME?</v>
      </c>
      <c r="H15" s="25"/>
      <c r="I15" s="25"/>
    </row>
    <row r="16" spans="1:9" s="3" customFormat="1" x14ac:dyDescent="0.3">
      <c r="A16" s="295" t="s">
        <v>171</v>
      </c>
      <c r="B16" s="37" t="e">
        <f ca="1">FISCA("2050_AJ")</f>
        <v>#NAME?</v>
      </c>
      <c r="C16" s="37" t="e">
        <f ca="1">FISCA("2050_AK")</f>
        <v>#NAME?</v>
      </c>
      <c r="D16" s="37" t="e">
        <f ca="1">FISCA("2050_AJNet")</f>
        <v>#NAME?</v>
      </c>
      <c r="E16" s="36" t="e">
        <f ca="1">PHASE.FISCA("DEC-PREV","2050_AJNet")</f>
        <v>#NAME?</v>
      </c>
      <c r="H16" s="25"/>
      <c r="I16" s="25"/>
    </row>
    <row r="17" spans="1:9" s="3" customFormat="1" x14ac:dyDescent="0.3">
      <c r="A17" s="295" t="s">
        <v>172</v>
      </c>
      <c r="B17" s="37" t="e">
        <f ca="1">FISCA("2050_AL")</f>
        <v>#NAME?</v>
      </c>
      <c r="C17" s="37" t="e">
        <f ca="1">FISCA("2050_AM")</f>
        <v>#NAME?</v>
      </c>
      <c r="D17" s="37" t="e">
        <f ca="1">FISCA("2050_ALNet")</f>
        <v>#NAME?</v>
      </c>
      <c r="E17" s="36" t="e">
        <f ca="1">PHASE.FISCA("DEC-PREV","2050_ALNet")</f>
        <v>#NAME?</v>
      </c>
      <c r="H17" s="25"/>
      <c r="I17" s="25"/>
    </row>
    <row r="18" spans="1:9" s="3" customFormat="1" x14ac:dyDescent="0.3">
      <c r="A18" s="295" t="s">
        <v>173</v>
      </c>
      <c r="B18" s="39" t="e">
        <f ca="1">SUM(B12:B17)</f>
        <v>#NAME?</v>
      </c>
      <c r="C18" s="39" t="e">
        <f ca="1">SUM(C12:C17)</f>
        <v>#NAME?</v>
      </c>
      <c r="D18" s="39" t="e">
        <f ca="1">SUM(D12:D17)</f>
        <v>#NAME?</v>
      </c>
      <c r="E18" s="39" t="e">
        <f ca="1">SUM(E12:E17)</f>
        <v>#NAME?</v>
      </c>
      <c r="H18" s="25"/>
      <c r="I18" s="25"/>
    </row>
    <row r="19" spans="1:9" s="3" customFormat="1" x14ac:dyDescent="0.3">
      <c r="A19" s="296" t="s">
        <v>174</v>
      </c>
      <c r="B19" s="37" t="e">
        <f ca="1">FISCA("2050_AN")</f>
        <v>#NAME?</v>
      </c>
      <c r="C19" s="37" t="e">
        <f ca="1">FISCA("2050_AO")</f>
        <v>#NAME?</v>
      </c>
      <c r="D19" s="37" t="e">
        <f ca="1">FISCA("2050_ANNet")</f>
        <v>#NAME?</v>
      </c>
      <c r="E19" s="36" t="e">
        <f ca="1">PHASE.FISCA("DEC-PREV","2050_ANNet")</f>
        <v>#NAME?</v>
      </c>
      <c r="H19" s="25"/>
      <c r="I19" s="25"/>
    </row>
    <row r="20" spans="1:9" s="3" customFormat="1" x14ac:dyDescent="0.3">
      <c r="A20" s="296" t="s">
        <v>175</v>
      </c>
      <c r="B20" s="37" t="e">
        <f ca="1">FISCA("2050_AP")</f>
        <v>#NAME?</v>
      </c>
      <c r="C20" s="37" t="e">
        <f ca="1">FISCA("2050_AQ")</f>
        <v>#NAME?</v>
      </c>
      <c r="D20" s="37" t="e">
        <f ca="1">FISCA("2050_APNet")</f>
        <v>#NAME?</v>
      </c>
      <c r="E20" s="36" t="e">
        <f ca="1">PHASE.FISCA("DEC-PREV","2050_APNet")</f>
        <v>#NAME?</v>
      </c>
      <c r="H20" s="25"/>
      <c r="I20" s="25"/>
    </row>
    <row r="21" spans="1:9" s="3" customFormat="1" x14ac:dyDescent="0.3">
      <c r="A21" s="296" t="s">
        <v>176</v>
      </c>
      <c r="B21" s="37" t="e">
        <f ca="1">FISCA("2050_AR")</f>
        <v>#NAME?</v>
      </c>
      <c r="C21" s="37" t="e">
        <f ca="1">FISCA("2050_AS")</f>
        <v>#NAME?</v>
      </c>
      <c r="D21" s="37" t="e">
        <f ca="1">FISCA("2050_ARNet")</f>
        <v>#NAME?</v>
      </c>
      <c r="E21" s="36" t="e">
        <f ca="1">PHASE.FISCA("DEC-PREV","2050_ARNet")</f>
        <v>#NAME?</v>
      </c>
      <c r="H21" s="25"/>
      <c r="I21" s="25"/>
    </row>
    <row r="22" spans="1:9" s="3" customFormat="1" x14ac:dyDescent="0.3">
      <c r="A22" s="296" t="s">
        <v>177</v>
      </c>
      <c r="B22" s="37" t="e">
        <f ca="1">FISCA("2050_AT")</f>
        <v>#NAME?</v>
      </c>
      <c r="C22" s="37" t="e">
        <f ca="1">FISCA("2050_AU")</f>
        <v>#NAME?</v>
      </c>
      <c r="D22" s="37" t="e">
        <f ca="1">FISCA("2050_ATNet")</f>
        <v>#NAME?</v>
      </c>
      <c r="E22" s="36" t="e">
        <f ca="1">PHASE.FISCA("DEC-PREV","2050_ATNet")</f>
        <v>#NAME?</v>
      </c>
      <c r="H22" s="25"/>
      <c r="I22" s="25"/>
    </row>
    <row r="23" spans="1:9" s="3" customFormat="1" x14ac:dyDescent="0.3">
      <c r="A23" s="296" t="s">
        <v>178</v>
      </c>
      <c r="B23" s="37" t="e">
        <f ca="1">FISCA("2050_AV")</f>
        <v>#NAME?</v>
      </c>
      <c r="C23" s="37" t="e">
        <f ca="1">FISCA("2050_AW")</f>
        <v>#NAME?</v>
      </c>
      <c r="D23" s="37" t="e">
        <f ca="1">FISCA("2050_AVNet")</f>
        <v>#NAME?</v>
      </c>
      <c r="E23" s="36" t="e">
        <f ca="1">PHASE.FISCA("DEC-PREV","2050_AVNet")</f>
        <v>#NAME?</v>
      </c>
      <c r="H23" s="25"/>
      <c r="I23" s="25"/>
    </row>
    <row r="24" spans="1:9" s="3" customFormat="1" x14ac:dyDescent="0.3">
      <c r="A24" s="296" t="s">
        <v>172</v>
      </c>
      <c r="B24" s="37" t="e">
        <f ca="1">FISCA("2050_AX")</f>
        <v>#NAME?</v>
      </c>
      <c r="C24" s="37" t="e">
        <f ca="1">FISCA("2050_AY")</f>
        <v>#NAME?</v>
      </c>
      <c r="D24" s="37" t="e">
        <f ca="1">FISCA("2050_AXNet")</f>
        <v>#NAME?</v>
      </c>
      <c r="E24" s="36" t="e">
        <f ca="1">PHASE.FISCA("DEC-PREV","2050_AXNet")</f>
        <v>#NAME?</v>
      </c>
      <c r="H24" s="25"/>
      <c r="I24" s="25"/>
    </row>
    <row r="25" spans="1:9" s="3" customFormat="1" x14ac:dyDescent="0.3">
      <c r="A25" s="297" t="s">
        <v>179</v>
      </c>
      <c r="B25" s="39" t="e">
        <f ca="1">SUM(B19:B24)</f>
        <v>#NAME?</v>
      </c>
      <c r="C25" s="39" t="e">
        <f ca="1">SUM(C19:C24)</f>
        <v>#NAME?</v>
      </c>
      <c r="D25" s="39" t="e">
        <f ca="1">SUM(D19:D24)</f>
        <v>#NAME?</v>
      </c>
      <c r="E25" s="39" t="e">
        <f ca="1">SUM(E19:E24)</f>
        <v>#NAME?</v>
      </c>
      <c r="H25" s="25"/>
      <c r="I25" s="25"/>
    </row>
    <row r="26" spans="1:9" s="3" customFormat="1" x14ac:dyDescent="0.3">
      <c r="A26" s="296" t="s">
        <v>180</v>
      </c>
      <c r="B26" s="37" t="e">
        <f ca="1">FISCA("2050_CS")+FISCA("2050_CU")</f>
        <v>#NAME?</v>
      </c>
      <c r="C26" s="37" t="e">
        <f ca="1">FISCA("2050_CT")+FISCA("2050_CV")</f>
        <v>#NAME?</v>
      </c>
      <c r="D26" s="37" t="e">
        <f ca="1">FISCA("2050_CSNet")+FISCA("2050_CUNet")</f>
        <v>#NAME?</v>
      </c>
      <c r="E26" s="36" t="e">
        <f ca="1">PHASE.FISCA("DEC-PREV","2050_CS")+PHASE.FISCA("DEC-PREV","2050_CUNet")</f>
        <v>#NAME?</v>
      </c>
      <c r="H26" s="25"/>
      <c r="I26" s="25"/>
    </row>
    <row r="27" spans="1:9" s="3" customFormat="1" x14ac:dyDescent="0.3">
      <c r="A27" s="296" t="s">
        <v>181</v>
      </c>
      <c r="B27" s="37" t="e">
        <f ca="1">FISCA("2050_BB")</f>
        <v>#NAME?</v>
      </c>
      <c r="C27" s="37" t="e">
        <f ca="1">FISCA("2050_BC")</f>
        <v>#NAME?</v>
      </c>
      <c r="D27" s="37" t="e">
        <f ca="1">FISCA("2050_BBNet")</f>
        <v>#NAME?</v>
      </c>
      <c r="E27" s="36" t="e">
        <f ca="1">PHASE.FISCA("DEC-PREV","2050_BBNet")</f>
        <v>#NAME?</v>
      </c>
      <c r="H27" s="25"/>
      <c r="I27" s="25"/>
    </row>
    <row r="28" spans="1:9" s="3" customFormat="1" x14ac:dyDescent="0.3">
      <c r="A28" s="296" t="s">
        <v>182</v>
      </c>
      <c r="B28" s="37" t="e">
        <f ca="1">FISCA("2050_BD")</f>
        <v>#NAME?</v>
      </c>
      <c r="C28" s="37" t="e">
        <f ca="1">FISCA("2050_BE")</f>
        <v>#NAME?</v>
      </c>
      <c r="D28" s="37" t="e">
        <f ca="1">FISCA("2050_BDNet")</f>
        <v>#NAME?</v>
      </c>
      <c r="E28" s="36" t="e">
        <f ca="1">PHASE.FISCA("DEC-PREV","2050_BDNet")</f>
        <v>#NAME?</v>
      </c>
      <c r="H28" s="25"/>
      <c r="I28" s="25"/>
    </row>
    <row r="29" spans="1:9" s="3" customFormat="1" x14ac:dyDescent="0.3">
      <c r="A29" s="296" t="s">
        <v>183</v>
      </c>
      <c r="B29" s="37" t="e">
        <f ca="1">FISCA("2050_BF")</f>
        <v>#NAME?</v>
      </c>
      <c r="C29" s="37" t="e">
        <f ca="1">FISCA("2050_BG")</f>
        <v>#NAME?</v>
      </c>
      <c r="D29" s="37" t="e">
        <f ca="1">FISCA("2050_BFNet")</f>
        <v>#NAME?</v>
      </c>
      <c r="E29" s="36" t="e">
        <f ca="1">PHASE.FISCA("DEC-PREV","2050_BFNet")</f>
        <v>#NAME?</v>
      </c>
      <c r="H29" s="25"/>
      <c r="I29" s="25"/>
    </row>
    <row r="30" spans="1:9" s="3" customFormat="1" x14ac:dyDescent="0.3">
      <c r="A30" s="296" t="s">
        <v>184</v>
      </c>
      <c r="B30" s="37" t="e">
        <f ca="1">FISCA("2050_BH")</f>
        <v>#NAME?</v>
      </c>
      <c r="C30" s="37" t="e">
        <f ca="1">FISCA("2050_BI")</f>
        <v>#NAME?</v>
      </c>
      <c r="D30" s="37" t="e">
        <f ca="1">FISCA("2050_BHNet")</f>
        <v>#NAME?</v>
      </c>
      <c r="E30" s="36" t="e">
        <f ca="1">PHASE.FISCA("DEC-PREV","2050_BHNet")</f>
        <v>#NAME?</v>
      </c>
      <c r="H30" s="25"/>
      <c r="I30" s="25"/>
    </row>
    <row r="31" spans="1:9" s="3" customFormat="1" x14ac:dyDescent="0.3">
      <c r="A31" s="297" t="s">
        <v>185</v>
      </c>
      <c r="B31" s="39" t="e">
        <f ca="1">SUM(B26:B30)</f>
        <v>#NAME?</v>
      </c>
      <c r="C31" s="39" t="e">
        <f ca="1">SUM(C26:C30)</f>
        <v>#NAME?</v>
      </c>
      <c r="D31" s="39" t="e">
        <f ca="1">SUM(D26:D30)</f>
        <v>#NAME?</v>
      </c>
      <c r="E31" s="39" t="e">
        <f ca="1">SUM(E26:E30)</f>
        <v>#NAME?</v>
      </c>
      <c r="H31" s="25"/>
      <c r="I31" s="25"/>
    </row>
    <row r="32" spans="1:9" s="3" customFormat="1" x14ac:dyDescent="0.3">
      <c r="A32" s="298" t="s">
        <v>186</v>
      </c>
      <c r="B32" s="40" t="e">
        <f ca="1">B18+B25+B31</f>
        <v>#NAME?</v>
      </c>
      <c r="C32" s="40" t="e">
        <f ca="1">C10+C18+C25+C31</f>
        <v>#NAME?</v>
      </c>
      <c r="D32" s="40" t="e">
        <f ca="1">D10+D18+D25+D31</f>
        <v>#NAME?</v>
      </c>
      <c r="E32" s="40" t="e">
        <f ca="1">E10+E18+E25+E31</f>
        <v>#NAME?</v>
      </c>
      <c r="H32" s="25"/>
      <c r="I32" s="25"/>
    </row>
    <row r="33" spans="1:9" s="3" customFormat="1" x14ac:dyDescent="0.3">
      <c r="A33" s="299" t="s">
        <v>187</v>
      </c>
      <c r="B33" s="41" t="e">
        <f ca="1">FISCA("2050_BL")</f>
        <v>#NAME?</v>
      </c>
      <c r="C33" s="41" t="e">
        <f ca="1">FISCA("2050_BM")</f>
        <v>#NAME?</v>
      </c>
      <c r="D33" s="41" t="e">
        <f ca="1">FISCA("2050_BLNet")</f>
        <v>#NAME?</v>
      </c>
      <c r="E33" s="42" t="e">
        <f ca="1">PHASE.FISCA("DEC-PREV","2050_BLNet")</f>
        <v>#NAME?</v>
      </c>
      <c r="H33" s="25"/>
      <c r="I33" s="25"/>
    </row>
    <row r="34" spans="1:9" s="3" customFormat="1" x14ac:dyDescent="0.3">
      <c r="A34" s="299" t="s">
        <v>188</v>
      </c>
      <c r="B34" s="41" t="e">
        <f ca="1">FISCA("2050_BN")</f>
        <v>#NAME?</v>
      </c>
      <c r="C34" s="41" t="e">
        <f ca="1">FISCA("2050_BO")</f>
        <v>#NAME?</v>
      </c>
      <c r="D34" s="41" t="e">
        <f ca="1">FISCA("2050_BNNet")</f>
        <v>#NAME?</v>
      </c>
      <c r="E34" s="42" t="e">
        <f ca="1">PHASE.FISCA("DEC-PREV","2050_BNNet")</f>
        <v>#NAME?</v>
      </c>
      <c r="H34" s="25"/>
      <c r="I34" s="25"/>
    </row>
    <row r="35" spans="1:9" s="3" customFormat="1" x14ac:dyDescent="0.3">
      <c r="A35" s="295"/>
      <c r="B35" s="41" t="e">
        <f ca="1">FISCA("2050_BP")</f>
        <v>#NAME?</v>
      </c>
      <c r="C35" s="41" t="e">
        <f ca="1">FISCA("2050_BQ")</f>
        <v>#NAME?</v>
      </c>
      <c r="D35" s="41" t="e">
        <f ca="1">FISCA("2050_BPNet")</f>
        <v>#NAME?</v>
      </c>
      <c r="E35" s="42" t="e">
        <f ca="1">PHASE.FISCA("DEC-PREV","2050_BPNet")</f>
        <v>#NAME?</v>
      </c>
      <c r="H35" s="25"/>
      <c r="I35" s="25"/>
    </row>
    <row r="36" spans="1:9" s="3" customFormat="1" x14ac:dyDescent="0.3">
      <c r="A36" s="295"/>
      <c r="B36" s="41" t="e">
        <f ca="1">FISCA("2050_BR")</f>
        <v>#NAME?</v>
      </c>
      <c r="C36" s="41" t="e">
        <f ca="1">FISCA("2050_BS")</f>
        <v>#NAME?</v>
      </c>
      <c r="D36" s="41" t="e">
        <f ca="1">FISCA("2050_BRNet")</f>
        <v>#NAME?</v>
      </c>
      <c r="E36" s="42" t="e">
        <f ca="1">PHASE.FISCA("DEC-PREV","2050_BRNet")</f>
        <v>#NAME?</v>
      </c>
      <c r="H36" s="25"/>
      <c r="I36" s="25"/>
    </row>
    <row r="37" spans="1:9" s="3" customFormat="1" x14ac:dyDescent="0.3">
      <c r="A37" s="295"/>
      <c r="B37" s="41" t="e">
        <f ca="1">FISCA("2050_BT")</f>
        <v>#NAME?</v>
      </c>
      <c r="C37" s="41" t="e">
        <f ca="1">FISCA("2050_BU")</f>
        <v>#NAME?</v>
      </c>
      <c r="D37" s="41" t="e">
        <f ca="1">FISCA("2050_BTNet")</f>
        <v>#NAME?</v>
      </c>
      <c r="E37" s="42" t="e">
        <f ca="1">PHASE.FISCA("DEC-PREV","2050_BTNet")</f>
        <v>#NAME?</v>
      </c>
      <c r="H37" s="25"/>
      <c r="I37" s="25"/>
    </row>
    <row r="38" spans="1:9" s="3" customFormat="1" x14ac:dyDescent="0.3">
      <c r="A38" s="298" t="s">
        <v>189</v>
      </c>
      <c r="B38" s="43" t="e">
        <f ca="1">SUM(B33:B37)</f>
        <v>#NAME?</v>
      </c>
      <c r="C38" s="43" t="e">
        <f ca="1">SUM(C33:C37)</f>
        <v>#NAME?</v>
      </c>
      <c r="D38" s="43" t="e">
        <f ca="1">SUM(D33:D37)</f>
        <v>#NAME?</v>
      </c>
      <c r="E38" s="43" t="e">
        <f ca="1">SUM(E33:E37)</f>
        <v>#NAME?</v>
      </c>
      <c r="H38" s="25"/>
      <c r="I38" s="25"/>
    </row>
    <row r="39" spans="1:9" s="3" customFormat="1" x14ac:dyDescent="0.3">
      <c r="A39" s="300" t="s">
        <v>190</v>
      </c>
      <c r="B39" s="44" t="e">
        <f ca="1">FISCA("2050_BV")</f>
        <v>#NAME?</v>
      </c>
      <c r="C39" s="44" t="e">
        <f ca="1">FISCA("2050_BW")</f>
        <v>#NAME?</v>
      </c>
      <c r="D39" s="44" t="e">
        <f ca="1">FISCA("2050_BVNet")</f>
        <v>#NAME?</v>
      </c>
      <c r="E39" s="45" t="e">
        <f ca="1">PHASE.FISCA("DEC-PREV","2050_BVNet")</f>
        <v>#NAME?</v>
      </c>
      <c r="H39" s="25"/>
      <c r="I39" s="25"/>
    </row>
    <row r="40" spans="1:9" s="3" customFormat="1" x14ac:dyDescent="0.3">
      <c r="A40" s="299" t="s">
        <v>191</v>
      </c>
      <c r="B40" s="41" t="e">
        <f ca="1">FISCA("2050_BX")</f>
        <v>#NAME?</v>
      </c>
      <c r="C40" s="41" t="e">
        <f ca="1">FISCA("2050_BY")</f>
        <v>#NAME?</v>
      </c>
      <c r="D40" s="41" t="e">
        <f ca="1">FISCA("2050_BXNet")</f>
        <v>#NAME?</v>
      </c>
      <c r="E40" s="46" t="e">
        <f ca="1">PHASE.FISCA("DEC-PREV","2050_BXNet")</f>
        <v>#NAME?</v>
      </c>
      <c r="H40" s="25"/>
      <c r="I40" s="25"/>
    </row>
    <row r="41" spans="1:9" s="3" customFormat="1" x14ac:dyDescent="0.3">
      <c r="A41" s="299" t="s">
        <v>192</v>
      </c>
      <c r="B41" s="41" t="e">
        <f ca="1">B99</f>
        <v>#NAME?</v>
      </c>
      <c r="C41" s="41" t="e">
        <f ca="1">-B103</f>
        <v>#NAME?</v>
      </c>
      <c r="D41" s="41" t="e">
        <f ca="1">B41-C41</f>
        <v>#NAME?</v>
      </c>
      <c r="E41" s="41" t="e">
        <f ca="1">E110</f>
        <v>#NAME?</v>
      </c>
      <c r="H41" s="25"/>
      <c r="I41" s="25"/>
    </row>
    <row r="42" spans="1:9" s="3" customFormat="1" x14ac:dyDescent="0.3">
      <c r="A42" s="300" t="s">
        <v>193</v>
      </c>
      <c r="B42" s="44" t="e">
        <f ca="1">SUM(B40:B41)</f>
        <v>#NAME?</v>
      </c>
      <c r="C42" s="44" t="e">
        <f ca="1">SUM(C40:C41)</f>
        <v>#NAME?</v>
      </c>
      <c r="D42" s="44" t="e">
        <f ca="1">SUM(D40:D41)</f>
        <v>#NAME?</v>
      </c>
      <c r="E42" s="44" t="e">
        <f ca="1">SUM(E40:E41)</f>
        <v>#NAME?</v>
      </c>
      <c r="H42" s="25"/>
      <c r="I42" s="25"/>
    </row>
    <row r="43" spans="1:9" s="3" customFormat="1" x14ac:dyDescent="0.3">
      <c r="A43" s="300" t="s">
        <v>194</v>
      </c>
      <c r="B43" s="44" t="e">
        <f ca="1">B132</f>
        <v>#NAME?</v>
      </c>
      <c r="C43" s="44" t="e">
        <f ca="1">-B140</f>
        <v>#NAME?</v>
      </c>
      <c r="D43" s="44" t="e">
        <f ca="1">+B43-C43</f>
        <v>#NAME?</v>
      </c>
      <c r="E43" s="44" t="e">
        <f ca="1">E143</f>
        <v>#NAME?</v>
      </c>
      <c r="H43" s="25"/>
      <c r="I43" s="25"/>
    </row>
    <row r="44" spans="1:9" s="3" customFormat="1" x14ac:dyDescent="0.3">
      <c r="A44" s="298" t="s">
        <v>195</v>
      </c>
      <c r="B44" s="43" t="e">
        <f ca="1">+B39+B42+B43</f>
        <v>#NAME?</v>
      </c>
      <c r="C44" s="43" t="e">
        <f ca="1">+C39+C42+C43</f>
        <v>#NAME?</v>
      </c>
      <c r="D44" s="43" t="e">
        <f ca="1">+D39+D42+D43</f>
        <v>#NAME?</v>
      </c>
      <c r="E44" s="43" t="e">
        <f ca="1">+E39+E42+E43</f>
        <v>#NAME?</v>
      </c>
      <c r="H44" s="25"/>
      <c r="I44" s="25"/>
    </row>
    <row r="45" spans="1:9" s="3" customFormat="1" x14ac:dyDescent="0.3">
      <c r="A45" s="299" t="s">
        <v>196</v>
      </c>
      <c r="B45" s="41" t="e">
        <f ca="1">FISCA("2050_CD")</f>
        <v>#NAME?</v>
      </c>
      <c r="C45" s="41" t="e">
        <f ca="1">FISCA("2050_CE")</f>
        <v>#NAME?</v>
      </c>
      <c r="D45" s="41" t="e">
        <f ca="1">FISCA("2050_CDNet")</f>
        <v>#NAME?</v>
      </c>
      <c r="E45" s="42" t="e">
        <f ca="1">PHASE.FISCA("DEC-PREV","2050_CDNet")</f>
        <v>#NAME?</v>
      </c>
      <c r="H45" s="25"/>
      <c r="I45" s="25"/>
    </row>
    <row r="46" spans="1:9" s="3" customFormat="1" x14ac:dyDescent="0.3">
      <c r="A46" s="295"/>
      <c r="B46" s="41"/>
      <c r="C46" s="41"/>
      <c r="D46" s="41"/>
      <c r="E46" s="42"/>
      <c r="H46" s="25"/>
      <c r="I46" s="25"/>
    </row>
    <row r="47" spans="1:9" s="3" customFormat="1" x14ac:dyDescent="0.3">
      <c r="A47" s="299" t="s">
        <v>197</v>
      </c>
      <c r="B47" s="41" t="e">
        <f ca="1">FISCA("2050_CF")</f>
        <v>#NAME?</v>
      </c>
      <c r="C47" s="41" t="e">
        <f ca="1">FISCA("2050_CG")</f>
        <v>#NAME?</v>
      </c>
      <c r="D47" s="41" t="e">
        <f ca="1">FISCA("2050_CFNet")</f>
        <v>#NAME?</v>
      </c>
      <c r="E47" s="36" t="e">
        <f ca="1">PHASE.FISCA("DEC-PREV","2050_CFNet")</f>
        <v>#NAME?</v>
      </c>
      <c r="H47" s="25"/>
      <c r="I47" s="25"/>
    </row>
    <row r="48" spans="1:9" s="3" customFormat="1" x14ac:dyDescent="0.3">
      <c r="A48" s="298" t="s">
        <v>198</v>
      </c>
      <c r="B48" s="43" t="e">
        <f ca="1">SUM(B45:B47)</f>
        <v>#NAME?</v>
      </c>
      <c r="C48" s="43" t="e">
        <f ca="1">SUM(C45:C47)</f>
        <v>#NAME?</v>
      </c>
      <c r="D48" s="43" t="e">
        <f ca="1">SUM(D45:D47)</f>
        <v>#NAME?</v>
      </c>
      <c r="E48" s="43" t="e">
        <f ca="1">SUM(E45:E47)</f>
        <v>#NAME?</v>
      </c>
      <c r="H48" s="25"/>
      <c r="I48" s="25"/>
    </row>
    <row r="49" spans="1:13" s="3" customFormat="1" x14ac:dyDescent="0.3">
      <c r="A49" s="299" t="s">
        <v>199</v>
      </c>
      <c r="B49" s="41" t="e">
        <f ca="1">FISCA("2050_CH")</f>
        <v>#NAME?</v>
      </c>
      <c r="C49" s="41" t="e">
        <f ca="1">FISCA("2050_CI")</f>
        <v>#NAME?</v>
      </c>
      <c r="D49" s="41" t="e">
        <f ca="1">FISCA("2050_CHNet")</f>
        <v>#NAME?</v>
      </c>
      <c r="E49" s="36" t="e">
        <f ca="1">PHASE.FISCA("DEC-PREV","2050_CHNet")</f>
        <v>#NAME?</v>
      </c>
      <c r="H49" s="25"/>
      <c r="I49" s="25"/>
    </row>
    <row r="50" spans="1:13" s="3" customFormat="1" x14ac:dyDescent="0.3">
      <c r="A50" s="298" t="s">
        <v>200</v>
      </c>
      <c r="B50" s="40" t="e">
        <f ca="1">B38+B44+B48+B49</f>
        <v>#NAME?</v>
      </c>
      <c r="C50" s="40" t="e">
        <f ca="1">C38+C44+C48+C49</f>
        <v>#NAME?</v>
      </c>
      <c r="D50" s="40" t="e">
        <f ca="1">D38+D44+D48+D49</f>
        <v>#NAME?</v>
      </c>
      <c r="E50" s="40" t="e">
        <f ca="1">E38+E44+E48+E49</f>
        <v>#NAME?</v>
      </c>
      <c r="H50" s="25"/>
      <c r="I50" s="25"/>
    </row>
    <row r="51" spans="1:13" s="3" customFormat="1" x14ac:dyDescent="0.3">
      <c r="A51" s="299" t="s">
        <v>201</v>
      </c>
      <c r="B51" s="41" t="e">
        <f ca="1">FISCA("2050_CW")</f>
        <v>#NAME?</v>
      </c>
      <c r="C51" s="41"/>
      <c r="D51" s="41" t="e">
        <f ca="1">FISCA("2050_CWNet")</f>
        <v>#NAME?</v>
      </c>
      <c r="E51" s="42" t="e">
        <f ca="1">PHASE.FISCA("DEC-PREV","2050_CWNet")</f>
        <v>#NAME?</v>
      </c>
      <c r="H51" s="25"/>
      <c r="I51" s="25"/>
    </row>
    <row r="52" spans="1:13" s="3" customFormat="1" x14ac:dyDescent="0.3">
      <c r="A52" s="299" t="s">
        <v>202</v>
      </c>
      <c r="B52" s="41" t="e">
        <f ca="1">FISCA("2050_CM")</f>
        <v>#NAME?</v>
      </c>
      <c r="C52" s="41"/>
      <c r="D52" s="41" t="e">
        <f ca="1">FISCA("2050_CMNet")</f>
        <v>#NAME?</v>
      </c>
      <c r="E52" s="42" t="e">
        <f ca="1">PHASE.FISCA("DEC-PREV","2050_CMNet")</f>
        <v>#NAME?</v>
      </c>
      <c r="H52" s="25"/>
      <c r="I52" s="25"/>
    </row>
    <row r="53" spans="1:13" s="3" customFormat="1" x14ac:dyDescent="0.3">
      <c r="A53" s="299" t="s">
        <v>203</v>
      </c>
      <c r="B53" s="41" t="e">
        <f ca="1">FISCA("2050_CN")</f>
        <v>#NAME?</v>
      </c>
      <c r="C53" s="41"/>
      <c r="D53" s="41" t="e">
        <f ca="1">FISCA("2050_CNNet")</f>
        <v>#NAME?</v>
      </c>
      <c r="E53" s="36" t="e">
        <f ca="1">PHASE.FISCA("DEC-PREV","2050_CNNet")</f>
        <v>#NAME?</v>
      </c>
      <c r="H53" s="25"/>
      <c r="I53" s="25"/>
    </row>
    <row r="54" spans="1:13" s="3" customFormat="1" x14ac:dyDescent="0.3">
      <c r="A54" s="298" t="s">
        <v>204</v>
      </c>
      <c r="B54" s="40" t="e">
        <f ca="1">B32+B50+B51+B52+B53</f>
        <v>#NAME?</v>
      </c>
      <c r="C54" s="40" t="e">
        <f ca="1">C32+C50+C51+C52+C53</f>
        <v>#NAME?</v>
      </c>
      <c r="D54" s="40" t="e">
        <f ca="1">D32+D50+D51+D52+D53</f>
        <v>#NAME?</v>
      </c>
      <c r="E54" s="40" t="e">
        <f ca="1">E32+E50+E51+E52+E53</f>
        <v>#NAME?</v>
      </c>
      <c r="H54" s="25"/>
      <c r="I54" s="25"/>
    </row>
    <row r="55" spans="1:13" s="3" customFormat="1" x14ac:dyDescent="0.3">
      <c r="A55" s="301" t="s">
        <v>205</v>
      </c>
      <c r="B55" s="48"/>
      <c r="C55" s="48"/>
      <c r="D55" s="49"/>
      <c r="E55" s="49"/>
      <c r="H55" s="25"/>
      <c r="I55" s="25"/>
    </row>
    <row r="56" spans="1:13" s="3" customFormat="1" x14ac:dyDescent="0.3">
      <c r="A56" s="301" t="s">
        <v>206</v>
      </c>
      <c r="B56" s="48"/>
      <c r="C56" s="48"/>
      <c r="D56" s="49"/>
      <c r="E56" s="49"/>
      <c r="H56" s="25"/>
      <c r="I56" s="25"/>
    </row>
    <row r="57" spans="1:13" s="3" customFormat="1" x14ac:dyDescent="0.3">
      <c r="A57" s="301" t="s">
        <v>207</v>
      </c>
      <c r="B57" s="48"/>
      <c r="C57" s="48"/>
      <c r="D57" s="49"/>
      <c r="E57" s="49"/>
      <c r="H57" s="25"/>
      <c r="I57" s="25"/>
    </row>
    <row r="58" spans="1:13" s="3" customFormat="1" ht="14.5" x14ac:dyDescent="0.35">
      <c r="A58" s="47"/>
      <c r="B58" s="48"/>
      <c r="C58" s="48"/>
      <c r="D58" s="49"/>
      <c r="E58" s="49"/>
      <c r="H58" s="25"/>
      <c r="I58" s="25"/>
    </row>
    <row r="59" spans="1:13" s="3" customFormat="1" ht="14.5" x14ac:dyDescent="0.35">
      <c r="A59" s="47"/>
      <c r="B59" s="48"/>
      <c r="C59" s="48"/>
      <c r="D59" s="49"/>
      <c r="E59" s="49"/>
      <c r="H59" s="25"/>
      <c r="I59" s="25"/>
    </row>
    <row r="60" spans="1:13" s="4" customFormat="1" ht="14.5" x14ac:dyDescent="0.35">
      <c r="H60" s="21"/>
      <c r="I60" s="21"/>
    </row>
    <row r="61" spans="1:13" s="5" customFormat="1" x14ac:dyDescent="0.3">
      <c r="A61" s="50" t="s">
        <v>9</v>
      </c>
      <c r="B61" s="50"/>
      <c r="C61" s="50"/>
      <c r="E61" s="50"/>
      <c r="F61" s="50"/>
      <c r="G61" s="51"/>
      <c r="H61" s="52"/>
      <c r="I61" s="52"/>
      <c r="J61" s="50"/>
      <c r="K61" s="50"/>
    </row>
    <row r="62" spans="1:13" s="5" customFormat="1" x14ac:dyDescent="0.3">
      <c r="A62" s="50"/>
      <c r="B62" s="50"/>
      <c r="C62" s="50"/>
      <c r="D62" s="50"/>
      <c r="E62" s="50"/>
      <c r="F62" s="50"/>
      <c r="G62" s="51"/>
      <c r="H62" s="52"/>
      <c r="I62" s="52"/>
      <c r="J62" s="50"/>
      <c r="K62" s="50"/>
    </row>
    <row r="63" spans="1:13" s="5" customFormat="1" x14ac:dyDescent="0.3">
      <c r="A63" s="50"/>
      <c r="B63" s="50" t="e">
        <f ca="1">DATECLOT()</f>
        <v>#NAME?</v>
      </c>
      <c r="C63" s="50" t="e">
        <f ca="1">DATECLOTPREV()</f>
        <v>#NAME?</v>
      </c>
      <c r="D63" s="52" t="e">
        <f ca="1">PHASE.DATECLOT("REELLE")</f>
        <v>#NAME?</v>
      </c>
      <c r="E63" s="52" t="e">
        <f ca="1">PHASE.DATECLOT("DEC-PREV")</f>
        <v>#NAME?</v>
      </c>
      <c r="F63" s="50"/>
    </row>
    <row r="64" spans="1:13" s="5" customFormat="1" x14ac:dyDescent="0.3">
      <c r="A64" s="50"/>
      <c r="B64" s="50" t="s">
        <v>10</v>
      </c>
      <c r="C64" s="50"/>
      <c r="F64" s="52" t="s">
        <v>11</v>
      </c>
      <c r="G64" s="52" t="s">
        <v>12</v>
      </c>
      <c r="H64" s="50" t="s">
        <v>13</v>
      </c>
      <c r="I64" s="50"/>
      <c r="J64" s="50"/>
      <c r="K64" s="50"/>
      <c r="L64" s="50"/>
      <c r="M64" s="50"/>
    </row>
    <row r="65" spans="1:10" s="5" customFormat="1" x14ac:dyDescent="0.3">
      <c r="A65" s="50"/>
      <c r="B65" s="50" t="e">
        <f ca="1">SUMCPTF(F65,G65)</f>
        <v>#NAME?</v>
      </c>
      <c r="C65" s="50" t="e">
        <f ca="1">SUMCPTF(F65,G65,-1)</f>
        <v>#NAME?</v>
      </c>
      <c r="E65" s="5" t="e">
        <f t="shared" ref="E65:E88" ca="1" si="0">PHASE.SUMCPTFMV("DEC-PREV",F65,G65,H65,0,,,0)</f>
        <v>#NAME?</v>
      </c>
      <c r="F65" s="53">
        <v>425</v>
      </c>
      <c r="G65" s="53">
        <v>425</v>
      </c>
      <c r="H65" s="54" t="s">
        <v>14</v>
      </c>
      <c r="I65" s="50"/>
      <c r="J65" s="50"/>
    </row>
    <row r="66" spans="1:10" s="5" customFormat="1" x14ac:dyDescent="0.3">
      <c r="A66" s="50"/>
      <c r="B66" s="50" t="e">
        <f ca="1">SUMCPTFMV(F66,G66,"sd")</f>
        <v>#NAME?</v>
      </c>
      <c r="C66" s="50" t="e">
        <f ca="1">SUMCPTFMV(F66,G66,"sd",-1)</f>
        <v>#NAME?</v>
      </c>
      <c r="E66" s="5" t="e">
        <f t="shared" ca="1" si="0"/>
        <v>#NAME?</v>
      </c>
      <c r="F66" s="53">
        <v>421</v>
      </c>
      <c r="G66" s="53">
        <v>424</v>
      </c>
      <c r="H66" s="54" t="s">
        <v>15</v>
      </c>
      <c r="I66" s="50"/>
      <c r="J66" s="50"/>
    </row>
    <row r="67" spans="1:10" s="5" customFormat="1" x14ac:dyDescent="0.3">
      <c r="A67" s="50"/>
      <c r="B67" s="50" t="e">
        <f ca="1">SUMCPTFMV(F67,G67,"sd")</f>
        <v>#NAME?</v>
      </c>
      <c r="C67" s="50" t="e">
        <f ca="1">SUMCPTFMV(F67,G67,"sd",-1)</f>
        <v>#NAME?</v>
      </c>
      <c r="E67" s="5" t="e">
        <f t="shared" ca="1" si="0"/>
        <v>#NAME?</v>
      </c>
      <c r="F67" s="53">
        <v>427</v>
      </c>
      <c r="G67" s="53">
        <v>427</v>
      </c>
      <c r="H67" s="54" t="s">
        <v>15</v>
      </c>
      <c r="I67" s="50"/>
      <c r="J67" s="50"/>
    </row>
    <row r="68" spans="1:10" s="5" customFormat="1" x14ac:dyDescent="0.3">
      <c r="A68" s="50"/>
      <c r="B68" s="50" t="e">
        <f ca="1">SUMCPTF(F68,G68)</f>
        <v>#NAME?</v>
      </c>
      <c r="C68" s="50" t="e">
        <f ca="1">SUMCPTF(F68,G68,-1)</f>
        <v>#NAME?</v>
      </c>
      <c r="E68" s="5" t="e">
        <f t="shared" ca="1" si="0"/>
        <v>#NAME?</v>
      </c>
      <c r="F68" s="53">
        <v>4292</v>
      </c>
      <c r="G68" s="53">
        <v>4292</v>
      </c>
      <c r="H68" s="54" t="s">
        <v>14</v>
      </c>
      <c r="I68" s="50"/>
      <c r="J68" s="50"/>
    </row>
    <row r="69" spans="1:10" s="5" customFormat="1" x14ac:dyDescent="0.3">
      <c r="A69" s="50"/>
      <c r="B69" s="50" t="e">
        <f ca="1">SUMCPTF(F69,G69)</f>
        <v>#NAME?</v>
      </c>
      <c r="C69" s="50" t="e">
        <f ca="1">SUMCPTF(F69,G69,-1)</f>
        <v>#NAME?</v>
      </c>
      <c r="E69" s="5" t="e">
        <f t="shared" ca="1" si="0"/>
        <v>#NAME?</v>
      </c>
      <c r="F69" s="53">
        <v>4287</v>
      </c>
      <c r="G69" s="53">
        <v>4287</v>
      </c>
      <c r="H69" s="54" t="s">
        <v>14</v>
      </c>
      <c r="I69" s="50"/>
      <c r="J69" s="50"/>
    </row>
    <row r="70" spans="1:10" s="5" customFormat="1" x14ac:dyDescent="0.3">
      <c r="A70" s="50"/>
      <c r="B70" s="50" t="e">
        <f ca="1">SUMCPTFMV(F70,G70,"sd")</f>
        <v>#NAME?</v>
      </c>
      <c r="C70" s="50" t="e">
        <f ca="1">SUMCPTFMV(F70,G70,"sd",-1)</f>
        <v>#NAME?</v>
      </c>
      <c r="E70" s="5" t="e">
        <f t="shared" ca="1" si="0"/>
        <v>#NAME?</v>
      </c>
      <c r="F70" s="53">
        <v>42894</v>
      </c>
      <c r="G70" s="53">
        <v>42894</v>
      </c>
      <c r="H70" s="54" t="s">
        <v>15</v>
      </c>
      <c r="I70" s="50"/>
      <c r="J70" s="50"/>
    </row>
    <row r="71" spans="1:10" s="5" customFormat="1" x14ac:dyDescent="0.3">
      <c r="A71" s="50"/>
      <c r="B71" s="50" t="e">
        <f ca="1">SUMCPTFMV(F71,G71,"sd")</f>
        <v>#NAME?</v>
      </c>
      <c r="C71" s="50" t="e">
        <f ca="1">SUMCPTFMV(F71,G71,"sd",-1)</f>
        <v>#NAME?</v>
      </c>
      <c r="E71" s="5" t="e">
        <f t="shared" ca="1" si="0"/>
        <v>#NAME?</v>
      </c>
      <c r="F71" s="53">
        <v>430</v>
      </c>
      <c r="G71" s="53">
        <v>431</v>
      </c>
      <c r="H71" s="54" t="s">
        <v>15</v>
      </c>
      <c r="I71" s="50"/>
      <c r="J71" s="50"/>
    </row>
    <row r="72" spans="1:10" s="5" customFormat="1" x14ac:dyDescent="0.3">
      <c r="A72" s="50"/>
      <c r="B72" s="50" t="e">
        <f ca="1">SUMCPTFMV(F72,G72,"sd")</f>
        <v>#NAME?</v>
      </c>
      <c r="C72" s="50" t="e">
        <f ca="1">SUMCPTFMV(F72,G72,"sd",-1)</f>
        <v>#NAME?</v>
      </c>
      <c r="E72" s="5" t="e">
        <f t="shared" ca="1" si="0"/>
        <v>#NAME?</v>
      </c>
      <c r="F72" s="53">
        <v>437</v>
      </c>
      <c r="G72" s="53">
        <v>437</v>
      </c>
      <c r="H72" s="54" t="s">
        <v>15</v>
      </c>
      <c r="I72" s="50"/>
      <c r="J72" s="50"/>
    </row>
    <row r="73" spans="1:10" s="5" customFormat="1" x14ac:dyDescent="0.3">
      <c r="A73" s="50"/>
      <c r="B73" s="50" t="e">
        <f ca="1">SUMCPTF(F73,G73)</f>
        <v>#NAME?</v>
      </c>
      <c r="C73" s="50" t="e">
        <f ca="1">SUMCPTF(F73,G73,-1)</f>
        <v>#NAME?</v>
      </c>
      <c r="E73" s="5" t="e">
        <f t="shared" ca="1" si="0"/>
        <v>#NAME?</v>
      </c>
      <c r="F73" s="53">
        <v>438940</v>
      </c>
      <c r="G73" s="53">
        <v>43894000</v>
      </c>
      <c r="H73" s="54" t="s">
        <v>14</v>
      </c>
      <c r="I73" s="50"/>
      <c r="J73" s="50"/>
    </row>
    <row r="74" spans="1:10" s="5" customFormat="1" x14ac:dyDescent="0.3">
      <c r="A74" s="50"/>
      <c r="B74" s="50" t="e">
        <f ca="1">SUMCPTFMV(F74,G74,"sd")</f>
        <v>#NAME?</v>
      </c>
      <c r="C74" s="50" t="e">
        <f ca="1">SUMCPTFMV(F74,G74,"sd",-1)</f>
        <v>#NAME?</v>
      </c>
      <c r="E74" s="5" t="e">
        <f t="shared" ca="1" si="0"/>
        <v>#NAME?</v>
      </c>
      <c r="F74" s="53">
        <v>439</v>
      </c>
      <c r="G74" s="53">
        <v>439</v>
      </c>
      <c r="H74" s="54" t="s">
        <v>15</v>
      </c>
      <c r="I74" s="50"/>
      <c r="J74" s="50"/>
    </row>
    <row r="75" spans="1:10" s="5" customFormat="1" x14ac:dyDescent="0.3">
      <c r="A75" s="50"/>
      <c r="B75" s="50" t="e">
        <f ca="1">SUMCPTF(F75,G75)</f>
        <v>#NAME?</v>
      </c>
      <c r="C75" s="50" t="e">
        <f ca="1">SUMCPTF(F75,G75,-1)</f>
        <v>#NAME?</v>
      </c>
      <c r="E75" s="5" t="e">
        <f t="shared" ca="1" si="0"/>
        <v>#NAME?</v>
      </c>
      <c r="F75" s="55">
        <v>4387</v>
      </c>
      <c r="G75" s="55">
        <v>4387</v>
      </c>
      <c r="H75" s="54" t="s">
        <v>14</v>
      </c>
      <c r="I75" s="50"/>
      <c r="J75" s="50"/>
    </row>
    <row r="76" spans="1:10" s="5" customFormat="1" x14ac:dyDescent="0.3">
      <c r="A76" s="50"/>
      <c r="B76" s="50" t="e">
        <f ca="1">SUMCPTFMV(F76,G76,"sd")</f>
        <v>#NAME?</v>
      </c>
      <c r="C76" s="50" t="e">
        <f ca="1">SUMCPTFMV(F76,G76,"sd",-1)</f>
        <v>#NAME?</v>
      </c>
      <c r="E76" s="5" t="e">
        <f t="shared" ca="1" si="0"/>
        <v>#NAME?</v>
      </c>
      <c r="F76" s="55">
        <v>4455</v>
      </c>
      <c r="G76" s="55">
        <v>4455</v>
      </c>
      <c r="H76" s="54" t="s">
        <v>15</v>
      </c>
      <c r="I76" s="50"/>
      <c r="J76" s="50"/>
    </row>
    <row r="77" spans="1:10" s="5" customFormat="1" x14ac:dyDescent="0.3">
      <c r="A77" s="50"/>
      <c r="B77" s="50" t="e">
        <f ca="1">SUMCPTF(F77,G77)</f>
        <v>#NAME?</v>
      </c>
      <c r="C77" s="50" t="e">
        <f ca="1">SUMCPTF(F77,G77,-1)</f>
        <v>#NAME?</v>
      </c>
      <c r="E77" s="5" t="e">
        <f t="shared" ca="1" si="0"/>
        <v>#NAME?</v>
      </c>
      <c r="F77" s="55">
        <v>4456</v>
      </c>
      <c r="G77" s="55">
        <v>4456</v>
      </c>
      <c r="H77" s="54" t="s">
        <v>14</v>
      </c>
      <c r="I77" s="50"/>
      <c r="J77" s="50"/>
    </row>
    <row r="78" spans="1:10" s="5" customFormat="1" x14ac:dyDescent="0.3">
      <c r="A78" s="50"/>
      <c r="B78" s="50" t="e">
        <f ca="1">SUMCPTFMV(F78,G78,"sd")</f>
        <v>#NAME?</v>
      </c>
      <c r="C78" s="50" t="e">
        <f ca="1">SUMCPTFMV(F78,G78,"sd",-1)</f>
        <v>#NAME?</v>
      </c>
      <c r="E78" s="5" t="e">
        <f t="shared" ca="1" si="0"/>
        <v>#NAME?</v>
      </c>
      <c r="F78" s="55">
        <v>4458</v>
      </c>
      <c r="G78" s="55">
        <v>4458</v>
      </c>
      <c r="H78" s="54" t="s">
        <v>15</v>
      </c>
      <c r="I78" s="50"/>
      <c r="J78" s="50"/>
    </row>
    <row r="79" spans="1:10" s="5" customFormat="1" x14ac:dyDescent="0.3">
      <c r="A79" s="50"/>
      <c r="B79" s="50" t="e">
        <f ca="1">SUMCPTF(F79,G79)</f>
        <v>#NAME?</v>
      </c>
      <c r="C79" s="50" t="e">
        <f ca="1">SUMCPTF(F79,G79,-1)</f>
        <v>#NAME?</v>
      </c>
      <c r="E79" s="5" t="e">
        <f t="shared" ca="1" si="0"/>
        <v>#NAME?</v>
      </c>
      <c r="F79" s="55">
        <v>4469</v>
      </c>
      <c r="G79" s="55">
        <v>4469</v>
      </c>
      <c r="H79" s="54" t="s">
        <v>14</v>
      </c>
      <c r="I79" s="50"/>
      <c r="J79" s="50"/>
    </row>
    <row r="80" spans="1:10" s="5" customFormat="1" x14ac:dyDescent="0.3">
      <c r="A80" s="50"/>
      <c r="B80" s="50" t="e">
        <f ca="1">SUMCPTFMV(F80,G80,"sd")</f>
        <v>#NAME?</v>
      </c>
      <c r="C80" s="50" t="e">
        <f ca="1">SUMCPTFMV(F80,G80,"sd",-1)</f>
        <v>#NAME?</v>
      </c>
      <c r="E80" s="5" t="e">
        <f t="shared" ca="1" si="0"/>
        <v>#NAME?</v>
      </c>
      <c r="F80" s="55">
        <v>4452</v>
      </c>
      <c r="G80" s="55">
        <v>4452</v>
      </c>
      <c r="H80" s="54" t="s">
        <v>15</v>
      </c>
      <c r="I80" s="50"/>
      <c r="J80" s="50"/>
    </row>
    <row r="81" spans="1:10" s="5" customFormat="1" x14ac:dyDescent="0.3">
      <c r="A81" s="50"/>
      <c r="B81" s="50" t="e">
        <f ca="1">SUMCPTFMV(F81,G81,"sd")</f>
        <v>#NAME?</v>
      </c>
      <c r="C81" s="50" t="e">
        <f ca="1">SUMCPTFMV(F81,G81,"sd",-1)</f>
        <v>#NAME?</v>
      </c>
      <c r="E81" s="5" t="e">
        <f t="shared" ca="1" si="0"/>
        <v>#NAME?</v>
      </c>
      <c r="F81" s="55">
        <v>4454</v>
      </c>
      <c r="G81" s="55">
        <v>4454</v>
      </c>
      <c r="H81" s="54" t="s">
        <v>15</v>
      </c>
      <c r="I81" s="50"/>
      <c r="J81" s="50"/>
    </row>
    <row r="82" spans="1:10" s="5" customFormat="1" x14ac:dyDescent="0.3">
      <c r="A82" s="50"/>
      <c r="B82" s="50" t="e">
        <f ca="1">SUMCPTF(F82,G82)</f>
        <v>#NAME?</v>
      </c>
      <c r="C82" s="50" t="e">
        <f ca="1">SUMCPTF(F82,G82,-1)</f>
        <v>#NAME?</v>
      </c>
      <c r="E82" s="5" t="e">
        <f t="shared" ca="1" si="0"/>
        <v>#NAME?</v>
      </c>
      <c r="F82" s="55">
        <v>445940</v>
      </c>
      <c r="G82" s="55">
        <v>445940</v>
      </c>
      <c r="H82" s="54" t="s">
        <v>14</v>
      </c>
      <c r="I82" s="50"/>
      <c r="J82" s="50"/>
    </row>
    <row r="83" spans="1:10" s="5" customFormat="1" x14ac:dyDescent="0.3">
      <c r="A83" s="50"/>
      <c r="B83" s="50" t="e">
        <f ca="1">SUMCPTFMV(F83,G83,"sd")</f>
        <v>#NAME?</v>
      </c>
      <c r="C83" s="50" t="e">
        <f ca="1">SUMCPTFMV(F83,G83,"sd",-1)</f>
        <v>#NAME?</v>
      </c>
      <c r="E83" s="5" t="e">
        <f t="shared" ca="1" si="0"/>
        <v>#NAME?</v>
      </c>
      <c r="F83" s="55">
        <v>447</v>
      </c>
      <c r="G83" s="55">
        <v>4472</v>
      </c>
      <c r="H83" s="54" t="s">
        <v>15</v>
      </c>
      <c r="I83" s="50"/>
      <c r="J83" s="50"/>
    </row>
    <row r="84" spans="1:10" s="5" customFormat="1" x14ac:dyDescent="0.3">
      <c r="A84" s="50"/>
      <c r="B84" s="50" t="e">
        <f ca="1">SUMCPTFMV(F84,G84,"sd")</f>
        <v>#NAME?</v>
      </c>
      <c r="C84" s="50" t="e">
        <f ca="1">SUMCPTFMV(F84,G84,"sd",-1)</f>
        <v>#NAME?</v>
      </c>
      <c r="E84" s="5" t="e">
        <f t="shared" ca="1" si="0"/>
        <v>#NAME?</v>
      </c>
      <c r="F84" s="55">
        <v>4474</v>
      </c>
      <c r="G84" s="55">
        <v>4479</v>
      </c>
      <c r="H84" s="54" t="s">
        <v>15</v>
      </c>
      <c r="I84" s="50"/>
      <c r="J84" s="50"/>
    </row>
    <row r="85" spans="1:10" s="5" customFormat="1" x14ac:dyDescent="0.3">
      <c r="A85" s="50"/>
      <c r="B85" s="50" t="e">
        <f ca="1">SUMCPTFMV(F85,G85,"sd")</f>
        <v>#NAME?</v>
      </c>
      <c r="C85" s="50" t="e">
        <f ca="1">SUMCPTFMV(F85,G85,"sd",-1)</f>
        <v>#NAME?</v>
      </c>
      <c r="E85" s="5" t="e">
        <f t="shared" ca="1" si="0"/>
        <v>#NAME?</v>
      </c>
      <c r="F85" s="55">
        <v>4487</v>
      </c>
      <c r="G85" s="55">
        <v>4487</v>
      </c>
      <c r="H85" s="54" t="s">
        <v>15</v>
      </c>
      <c r="I85" s="50" t="s">
        <v>16</v>
      </c>
      <c r="J85" s="50"/>
    </row>
    <row r="86" spans="1:10" s="5" customFormat="1" x14ac:dyDescent="0.3">
      <c r="A86" s="50"/>
      <c r="B86" s="50" t="e">
        <f ca="1">SUMCPTF(F86,G86)</f>
        <v>#NAME?</v>
      </c>
      <c r="C86" s="50" t="e">
        <f ca="1">SUMCPTF(F86,G86,-1)</f>
        <v>#NAME?</v>
      </c>
      <c r="E86" s="5" t="e">
        <f t="shared" ca="1" si="0"/>
        <v>#NAME?</v>
      </c>
      <c r="F86" s="55">
        <v>44894</v>
      </c>
      <c r="G86" s="55">
        <v>44894</v>
      </c>
      <c r="H86" s="54" t="s">
        <v>14</v>
      </c>
      <c r="I86" s="50"/>
      <c r="J86" s="50"/>
    </row>
    <row r="87" spans="1:10" s="5" customFormat="1" x14ac:dyDescent="0.3">
      <c r="A87" s="50"/>
      <c r="B87" s="50" t="e">
        <f t="shared" ref="B87:B92" ca="1" si="1">SUMCPTFMV(F87,G87,"sd")</f>
        <v>#NAME?</v>
      </c>
      <c r="C87" s="50" t="e">
        <f t="shared" ref="C87:C92" ca="1" si="2">SUMCPTFMV(F87,G87,"sd",-1)</f>
        <v>#NAME?</v>
      </c>
      <c r="E87" s="5" t="e">
        <f t="shared" ca="1" si="0"/>
        <v>#NAME?</v>
      </c>
      <c r="F87" s="55">
        <v>4417</v>
      </c>
      <c r="G87" s="55">
        <v>4417</v>
      </c>
      <c r="H87" s="54" t="s">
        <v>15</v>
      </c>
      <c r="I87" s="50"/>
      <c r="J87" s="50"/>
    </row>
    <row r="88" spans="1:10" s="5" customFormat="1" x14ac:dyDescent="0.3">
      <c r="A88" s="50"/>
      <c r="B88" s="50" t="e">
        <f t="shared" ca="1" si="1"/>
        <v>#NAME?</v>
      </c>
      <c r="C88" s="50" t="e">
        <f t="shared" ca="1" si="2"/>
        <v>#NAME?</v>
      </c>
      <c r="E88" s="5" t="e">
        <f t="shared" ca="1" si="0"/>
        <v>#NAME?</v>
      </c>
      <c r="F88" s="55">
        <v>400</v>
      </c>
      <c r="G88" s="55">
        <v>401</v>
      </c>
      <c r="H88" s="54" t="s">
        <v>15</v>
      </c>
      <c r="I88" s="50"/>
      <c r="J88" s="50"/>
    </row>
    <row r="89" spans="1:10" s="5" customFormat="1" x14ac:dyDescent="0.3">
      <c r="A89" s="50"/>
      <c r="B89" s="50" t="e">
        <f t="shared" ca="1" si="1"/>
        <v>#NAME?</v>
      </c>
      <c r="C89" s="50" t="e">
        <f t="shared" ca="1" si="2"/>
        <v>#NAME?</v>
      </c>
      <c r="E89" s="5" t="e">
        <f ca="1">-PHASE.SUMCPTFMV("DEC-PREV",F89,G89,H89,0,,,0)</f>
        <v>#NAME?</v>
      </c>
      <c r="F89" s="53">
        <v>401197</v>
      </c>
      <c r="G89" s="53">
        <v>401198</v>
      </c>
      <c r="H89" s="56" t="s">
        <v>15</v>
      </c>
      <c r="I89" s="57" t="s">
        <v>17</v>
      </c>
      <c r="J89" s="50"/>
    </row>
    <row r="90" spans="1:10" s="5" customFormat="1" x14ac:dyDescent="0.3">
      <c r="A90" s="50"/>
      <c r="B90" s="50" t="e">
        <f t="shared" ca="1" si="1"/>
        <v>#NAME?</v>
      </c>
      <c r="C90" s="50" t="e">
        <f t="shared" ca="1" si="2"/>
        <v>#NAME?</v>
      </c>
      <c r="E90" s="5" t="e">
        <f t="shared" ref="E90:E97" ca="1" si="3">PHASE.SUMCPTFMV("DEC-PREV",F90,G90,H90,0,,,0)</f>
        <v>#NAME?</v>
      </c>
      <c r="F90" s="55">
        <v>404</v>
      </c>
      <c r="G90" s="55">
        <v>404</v>
      </c>
      <c r="H90" s="54" t="s">
        <v>15</v>
      </c>
      <c r="I90" s="50"/>
      <c r="J90" s="50"/>
    </row>
    <row r="91" spans="1:10" s="5" customFormat="1" x14ac:dyDescent="0.3">
      <c r="A91" s="50"/>
      <c r="B91" s="50" t="e">
        <f t="shared" ca="1" si="1"/>
        <v>#NAME?</v>
      </c>
      <c r="C91" s="50" t="e">
        <f t="shared" ca="1" si="2"/>
        <v>#NAME?</v>
      </c>
      <c r="E91" s="5" t="e">
        <f t="shared" ca="1" si="3"/>
        <v>#NAME?</v>
      </c>
      <c r="F91" s="53">
        <v>404197</v>
      </c>
      <c r="G91" s="53">
        <v>404198</v>
      </c>
      <c r="H91" s="56" t="s">
        <v>15</v>
      </c>
      <c r="I91" s="57" t="s">
        <v>17</v>
      </c>
      <c r="J91" s="50"/>
    </row>
    <row r="92" spans="1:10" s="5" customFormat="1" x14ac:dyDescent="0.3">
      <c r="A92" s="50"/>
      <c r="B92" s="50" t="e">
        <f t="shared" ca="1" si="1"/>
        <v>#NAME?</v>
      </c>
      <c r="C92" s="50" t="e">
        <f t="shared" ca="1" si="2"/>
        <v>#NAME?</v>
      </c>
      <c r="E92" s="5" t="e">
        <f t="shared" ca="1" si="3"/>
        <v>#NAME?</v>
      </c>
      <c r="F92" s="55">
        <v>4096</v>
      </c>
      <c r="G92" s="55">
        <v>4098</v>
      </c>
      <c r="H92" s="54" t="s">
        <v>15</v>
      </c>
      <c r="I92" s="50"/>
      <c r="J92" s="50"/>
    </row>
    <row r="93" spans="1:10" s="5" customFormat="1" x14ac:dyDescent="0.3">
      <c r="A93" s="50"/>
      <c r="B93" s="50" t="e">
        <f ca="1">SUMCPTF(F93,G93)</f>
        <v>#NAME?</v>
      </c>
      <c r="C93" s="50" t="e">
        <f ca="1">SUMCPTF(F93,G93,-1)</f>
        <v>#NAME?</v>
      </c>
      <c r="E93" s="5" t="e">
        <f t="shared" ca="1" si="3"/>
        <v>#NAME?</v>
      </c>
      <c r="F93" s="55">
        <v>4099</v>
      </c>
      <c r="G93" s="55">
        <v>4099</v>
      </c>
      <c r="H93" s="54" t="s">
        <v>14</v>
      </c>
      <c r="I93" s="50"/>
      <c r="J93" s="50"/>
    </row>
    <row r="94" spans="1:10" s="5" customFormat="1" x14ac:dyDescent="0.3">
      <c r="A94" s="50"/>
      <c r="B94" s="50" t="e">
        <f ca="1">SUMCPTFMV(F94,G94,"sd")</f>
        <v>#NAME?</v>
      </c>
      <c r="C94" s="50" t="e">
        <f ca="1">SUMCPTFMV(F94,G94,"sd",-1)</f>
        <v>#NAME?</v>
      </c>
      <c r="E94" s="5" t="e">
        <f t="shared" ca="1" si="3"/>
        <v>#NAME?</v>
      </c>
      <c r="F94" s="55">
        <v>402</v>
      </c>
      <c r="G94" s="55">
        <v>402</v>
      </c>
      <c r="H94" s="54" t="s">
        <v>15</v>
      </c>
      <c r="I94" s="50"/>
      <c r="J94" s="50"/>
    </row>
    <row r="95" spans="1:10" s="5" customFormat="1" x14ac:dyDescent="0.3">
      <c r="A95" s="50"/>
      <c r="B95" s="50" t="e">
        <f ca="1">SUMCPTFMV(F95,G95,"sd")</f>
        <v>#NAME?</v>
      </c>
      <c r="C95" s="50" t="e">
        <f ca="1">SUMCPTFMV(F95,G95,"sd",-1)</f>
        <v>#NAME?</v>
      </c>
      <c r="E95" s="5" t="e">
        <f t="shared" ca="1" si="3"/>
        <v>#NAME?</v>
      </c>
      <c r="F95" s="53">
        <v>402197</v>
      </c>
      <c r="G95" s="53">
        <v>402198</v>
      </c>
      <c r="H95" s="56" t="s">
        <v>15</v>
      </c>
      <c r="I95" s="57" t="s">
        <v>17</v>
      </c>
      <c r="J95" s="50"/>
    </row>
    <row r="96" spans="1:10" s="5" customFormat="1" x14ac:dyDescent="0.3">
      <c r="A96" s="50"/>
      <c r="B96" s="50" t="e">
        <f ca="1">SUMCPTFMV(F96,G96,"sd")</f>
        <v>#NAME?</v>
      </c>
      <c r="C96" s="50" t="e">
        <f ca="1">SUMCPTFMV(F96,G96,"sd",-1)</f>
        <v>#NAME?</v>
      </c>
      <c r="E96" s="5" t="e">
        <f t="shared" ca="1" si="3"/>
        <v>#NAME?</v>
      </c>
      <c r="F96" s="53">
        <v>402797</v>
      </c>
      <c r="G96" s="53">
        <v>402798</v>
      </c>
      <c r="H96" s="56" t="s">
        <v>15</v>
      </c>
      <c r="I96" s="57" t="s">
        <v>17</v>
      </c>
      <c r="J96" s="50"/>
    </row>
    <row r="97" spans="1:10" s="5" customFormat="1" x14ac:dyDescent="0.3">
      <c r="A97" s="50"/>
      <c r="B97" s="50" t="e">
        <f ca="1">SUMCPTFMV(F97,G97,"sd")</f>
        <v>#NAME?</v>
      </c>
      <c r="C97" s="50" t="e">
        <f ca="1">SUMCPTFMV(F97,G97,"sd",-1)</f>
        <v>#NAME?</v>
      </c>
      <c r="E97" s="5" t="e">
        <f t="shared" ca="1" si="3"/>
        <v>#NAME?</v>
      </c>
      <c r="F97" s="55">
        <v>438610</v>
      </c>
      <c r="G97" s="55">
        <v>438610</v>
      </c>
      <c r="H97" s="54" t="s">
        <v>15</v>
      </c>
      <c r="I97" s="50"/>
      <c r="J97" s="50"/>
    </row>
    <row r="98" spans="1:10" s="5" customFormat="1" x14ac:dyDescent="0.3">
      <c r="A98" s="50"/>
      <c r="B98" s="50"/>
      <c r="C98" s="50"/>
      <c r="F98" s="52"/>
      <c r="G98" s="52"/>
      <c r="H98" s="50"/>
      <c r="I98" s="50"/>
      <c r="J98" s="50"/>
    </row>
    <row r="99" spans="1:10" s="5" customFormat="1" x14ac:dyDescent="0.3">
      <c r="A99" s="50"/>
      <c r="B99" s="50" t="e">
        <f ca="1">SUM(B65:B97)</f>
        <v>#NAME?</v>
      </c>
      <c r="C99" s="50" t="e">
        <f ca="1">SUM(C65:C97)</f>
        <v>#NAME?</v>
      </c>
      <c r="D99" s="50">
        <f>SUM(D65:D97)</f>
        <v>0</v>
      </c>
      <c r="E99" s="50" t="e">
        <f ca="1">SUM(E65:E97)</f>
        <v>#NAME?</v>
      </c>
      <c r="F99" s="52"/>
      <c r="G99" s="52"/>
      <c r="H99" s="50"/>
      <c r="I99" s="50"/>
      <c r="J99" s="50"/>
    </row>
    <row r="100" spans="1:10" s="5" customFormat="1" x14ac:dyDescent="0.3">
      <c r="A100" s="50"/>
      <c r="B100" s="50"/>
      <c r="C100" s="50"/>
      <c r="F100" s="52"/>
      <c r="G100" s="52"/>
      <c r="H100" s="50"/>
      <c r="I100" s="50"/>
      <c r="J100" s="50"/>
    </row>
    <row r="101" spans="1:10" s="5" customFormat="1" x14ac:dyDescent="0.3">
      <c r="A101" s="50"/>
      <c r="B101" s="50"/>
      <c r="C101" s="50"/>
      <c r="F101" s="52"/>
      <c r="G101" s="52"/>
      <c r="H101" s="50"/>
      <c r="I101" s="50"/>
      <c r="J101" s="50"/>
    </row>
    <row r="102" spans="1:10" s="5" customFormat="1" x14ac:dyDescent="0.3">
      <c r="A102" s="50"/>
      <c r="B102" s="50" t="s">
        <v>18</v>
      </c>
      <c r="C102" s="50"/>
      <c r="F102" s="52"/>
      <c r="G102" s="52"/>
      <c r="H102" s="50"/>
      <c r="I102" s="50"/>
      <c r="J102" s="50"/>
    </row>
    <row r="103" spans="1:10" s="5" customFormat="1" x14ac:dyDescent="0.3">
      <c r="A103" s="50"/>
      <c r="B103" s="50" t="e">
        <f ca="1">SUMCPTF(F103,G103)</f>
        <v>#NAME?</v>
      </c>
      <c r="C103" s="50" t="e">
        <f ca="1">SUMCPTF(F103,G103,-1)</f>
        <v>#NAME?</v>
      </c>
      <c r="E103" s="5" t="e">
        <f ca="1">PHASE.SUMCPTFMV("DEC-PREV",F103,G103,H103,0,,,0)</f>
        <v>#NAME?</v>
      </c>
      <c r="F103" s="55">
        <v>4963</v>
      </c>
      <c r="G103" s="55">
        <v>4965</v>
      </c>
      <c r="H103" s="54" t="s">
        <v>14</v>
      </c>
      <c r="I103" s="50"/>
      <c r="J103" s="50"/>
    </row>
    <row r="104" spans="1:10" s="5" customFormat="1" x14ac:dyDescent="0.3">
      <c r="A104" s="50"/>
      <c r="B104" s="50" t="e">
        <f ca="1">SUMCPTF(F104,G104)</f>
        <v>#NAME?</v>
      </c>
      <c r="C104" s="50" t="e">
        <f ca="1">SUMCPTF(F104,G104,-1)</f>
        <v>#NAME?</v>
      </c>
      <c r="E104" s="5" t="e">
        <f ca="1">PHASE.SUMCPTFMV("DEC-PREV",F104,G104,H104,0,,,0)</f>
        <v>#NAME?</v>
      </c>
      <c r="F104" s="55"/>
      <c r="G104" s="55"/>
      <c r="H104" s="54"/>
      <c r="I104" s="50"/>
      <c r="J104" s="50"/>
    </row>
    <row r="105" spans="1:10" s="5" customFormat="1" x14ac:dyDescent="0.3">
      <c r="A105" s="50"/>
      <c r="B105" s="50" t="e">
        <f ca="1">SUMCPTF(F105,G105)</f>
        <v>#NAME?</v>
      </c>
      <c r="C105" s="50" t="e">
        <f ca="1">SUMCPTF(F105,G105,-1)</f>
        <v>#NAME?</v>
      </c>
      <c r="E105" s="5" t="e">
        <f ca="1">PHASE.SUMCPTFMV("DEC-PREV",F105,G105,H105,0,,,0)</f>
        <v>#NAME?</v>
      </c>
      <c r="F105" s="55"/>
      <c r="G105" s="55"/>
      <c r="H105" s="54"/>
      <c r="I105" s="50"/>
      <c r="J105" s="50"/>
    </row>
    <row r="106" spans="1:10" s="5" customFormat="1" x14ac:dyDescent="0.3">
      <c r="A106" s="50"/>
      <c r="B106" s="50"/>
      <c r="C106" s="50"/>
      <c r="F106" s="52"/>
      <c r="G106" s="52"/>
      <c r="H106" s="50"/>
      <c r="I106" s="50"/>
      <c r="J106" s="50"/>
    </row>
    <row r="107" spans="1:10" s="5" customFormat="1" x14ac:dyDescent="0.3">
      <c r="A107" s="50"/>
      <c r="B107" s="50" t="e">
        <f ca="1">SUM(B103:B105)</f>
        <v>#NAME?</v>
      </c>
      <c r="C107" s="50" t="e">
        <f ca="1">SUM(C103:C105)</f>
        <v>#NAME?</v>
      </c>
      <c r="D107" s="50">
        <f>SUM(D103:D105)</f>
        <v>0</v>
      </c>
      <c r="E107" s="50" t="e">
        <f ca="1">SUM(E103:E105)</f>
        <v>#NAME?</v>
      </c>
      <c r="F107" s="52"/>
      <c r="G107" s="52"/>
      <c r="H107" s="50"/>
      <c r="I107" s="50"/>
      <c r="J107" s="50"/>
    </row>
    <row r="108" spans="1:10" s="5" customFormat="1" x14ac:dyDescent="0.3">
      <c r="A108" s="50"/>
      <c r="B108" s="50"/>
      <c r="C108" s="50"/>
      <c r="F108" s="52"/>
      <c r="G108" s="52"/>
      <c r="H108" s="50"/>
      <c r="I108" s="50"/>
      <c r="J108" s="50"/>
    </row>
    <row r="109" spans="1:10" s="5" customFormat="1" x14ac:dyDescent="0.3">
      <c r="A109" s="50"/>
      <c r="B109" s="58" t="s">
        <v>19</v>
      </c>
      <c r="C109" s="58"/>
      <c r="F109" s="59"/>
      <c r="G109" s="52"/>
      <c r="H109" s="50"/>
      <c r="I109" s="50"/>
      <c r="J109" s="50"/>
    </row>
    <row r="110" spans="1:10" s="5" customFormat="1" x14ac:dyDescent="0.3">
      <c r="A110" s="50"/>
      <c r="B110" s="50" t="e">
        <f ca="1">B99+B107</f>
        <v>#NAME?</v>
      </c>
      <c r="C110" s="50" t="e">
        <f ca="1">C99+C107</f>
        <v>#NAME?</v>
      </c>
      <c r="D110" s="50">
        <f>D99+D107</f>
        <v>0</v>
      </c>
      <c r="E110" s="50" t="e">
        <f ca="1">E99+E107</f>
        <v>#NAME?</v>
      </c>
      <c r="F110" s="52"/>
      <c r="G110" s="52"/>
      <c r="H110" s="50"/>
      <c r="I110" s="50"/>
      <c r="J110" s="50"/>
    </row>
    <row r="111" spans="1:10" s="5" customFormat="1" x14ac:dyDescent="0.3">
      <c r="A111" s="50"/>
      <c r="B111" s="50"/>
      <c r="C111" s="50"/>
      <c r="F111" s="52"/>
      <c r="G111" s="52"/>
      <c r="H111" s="50"/>
      <c r="I111" s="50"/>
      <c r="J111" s="50"/>
    </row>
    <row r="112" spans="1:10" s="5" customFormat="1" x14ac:dyDescent="0.3">
      <c r="A112" s="50"/>
      <c r="B112" s="50"/>
      <c r="C112" s="50"/>
      <c r="F112" s="52"/>
      <c r="G112" s="52"/>
      <c r="H112" s="50"/>
      <c r="I112" s="50"/>
      <c r="J112" s="50"/>
    </row>
    <row r="113" spans="1:10" s="5" customFormat="1" x14ac:dyDescent="0.3">
      <c r="A113" s="50"/>
      <c r="B113" s="50" t="s">
        <v>20</v>
      </c>
      <c r="C113" s="50"/>
      <c r="F113" s="52" t="s">
        <v>11</v>
      </c>
      <c r="G113" s="52" t="s">
        <v>12</v>
      </c>
      <c r="H113" s="50" t="s">
        <v>13</v>
      </c>
      <c r="I113" s="50"/>
      <c r="J113" s="50"/>
    </row>
    <row r="114" spans="1:10" s="5" customFormat="1" x14ac:dyDescent="0.3">
      <c r="A114" s="50"/>
      <c r="B114" s="50" t="e">
        <f ca="1">SUMCPTFMV(F114,G114,"sd")</f>
        <v>#NAME?</v>
      </c>
      <c r="C114" s="50" t="e">
        <f ca="1">SUMCPTFMV(F114,G114,"sd",-1)</f>
        <v>#NAME?</v>
      </c>
      <c r="D114" s="5" t="e">
        <f ca="1">PHASE.SUMCPTFMV("REELLE",F114,G114,H114,0,,,0)</f>
        <v>#NAME?</v>
      </c>
      <c r="E114" s="5" t="e">
        <f t="shared" ref="E114:E130" ca="1" si="4">PHASE.SUMCPTFMV("DEC-PREV",F114,G114,H114,0,,,0)</f>
        <v>#NAME?</v>
      </c>
      <c r="F114" s="55">
        <v>444</v>
      </c>
      <c r="G114" s="55">
        <v>444</v>
      </c>
      <c r="H114" s="54" t="s">
        <v>15</v>
      </c>
      <c r="I114" s="50"/>
      <c r="J114" s="50"/>
    </row>
    <row r="115" spans="1:10" s="5" customFormat="1" x14ac:dyDescent="0.3">
      <c r="A115" s="50"/>
      <c r="B115" s="50" t="e">
        <f ca="1">SUMCPTF(F115,G115)</f>
        <v>#NAME?</v>
      </c>
      <c r="C115" s="50" t="e">
        <f ca="1">SUMCPTF(F115,G115,-1)</f>
        <v>#NAME?</v>
      </c>
      <c r="E115" s="5" t="e">
        <f t="shared" ca="1" si="4"/>
        <v>#NAME?</v>
      </c>
      <c r="F115" s="55">
        <v>440</v>
      </c>
      <c r="G115" s="55">
        <v>441</v>
      </c>
      <c r="H115" s="54" t="s">
        <v>14</v>
      </c>
      <c r="I115" s="50"/>
      <c r="J115" s="50"/>
    </row>
    <row r="116" spans="1:10" s="5" customFormat="1" x14ac:dyDescent="0.3">
      <c r="A116" s="50"/>
      <c r="B116" s="50" t="e">
        <f ca="1">SUMCPTFMV(F116,G116,"sd")</f>
        <v>#NAME?</v>
      </c>
      <c r="C116" s="50" t="e">
        <f ca="1">SUMCPTFMV(F116,G116,"sd",-1)</f>
        <v>#NAME?</v>
      </c>
      <c r="E116" s="5" t="e">
        <f t="shared" ca="1" si="4"/>
        <v>#NAME?</v>
      </c>
      <c r="F116" s="55">
        <v>443</v>
      </c>
      <c r="G116" s="55">
        <v>443</v>
      </c>
      <c r="H116" s="54" t="s">
        <v>15</v>
      </c>
      <c r="I116" s="50"/>
      <c r="J116" s="50"/>
    </row>
    <row r="117" spans="1:10" s="5" customFormat="1" x14ac:dyDescent="0.3">
      <c r="A117" s="50"/>
      <c r="B117" s="50" t="e">
        <f ca="1">SUMCPTFMV(F117,G117,"sd")</f>
        <v>#NAME?</v>
      </c>
      <c r="C117" s="50" t="e">
        <f ca="1">SUMCPTFMV(F117,G117,"sd",-1)</f>
        <v>#NAME?</v>
      </c>
      <c r="E117" s="5" t="e">
        <f t="shared" ca="1" si="4"/>
        <v>#NAME?</v>
      </c>
      <c r="F117" s="55">
        <v>450</v>
      </c>
      <c r="G117" s="55">
        <v>4561</v>
      </c>
      <c r="H117" s="54" t="s">
        <v>15</v>
      </c>
      <c r="I117" s="50"/>
      <c r="J117" s="50"/>
    </row>
    <row r="118" spans="1:10" s="5" customFormat="1" x14ac:dyDescent="0.3">
      <c r="A118" s="50"/>
      <c r="B118" s="50" t="e">
        <f ca="1">SUMCPTFMV(F118,G118,"sd")</f>
        <v>#NAME?</v>
      </c>
      <c r="C118" s="50" t="e">
        <f ca="1">SUMCPTFMV(F118,G118,"sd",-1)</f>
        <v>#NAME?</v>
      </c>
      <c r="E118" s="5" t="e">
        <f t="shared" ca="1" si="4"/>
        <v>#NAME?</v>
      </c>
      <c r="F118" s="55">
        <v>4563</v>
      </c>
      <c r="G118" s="55">
        <v>4569</v>
      </c>
      <c r="H118" s="54" t="s">
        <v>15</v>
      </c>
      <c r="I118" s="50"/>
      <c r="J118" s="50"/>
    </row>
    <row r="119" spans="1:10" s="5" customFormat="1" x14ac:dyDescent="0.3">
      <c r="A119" s="50"/>
      <c r="B119" s="50" t="e">
        <f ca="1">SUMCPTFMV(F119,G119,"sd")</f>
        <v>#NAME?</v>
      </c>
      <c r="C119" s="50" t="e">
        <f ca="1">SUMCPTFMV(F119,G119,"sd",-1)</f>
        <v>#NAME?</v>
      </c>
      <c r="E119" s="5" t="e">
        <f t="shared" ca="1" si="4"/>
        <v>#NAME?</v>
      </c>
      <c r="F119" s="55">
        <v>457</v>
      </c>
      <c r="G119" s="55">
        <v>459</v>
      </c>
      <c r="H119" s="54" t="s">
        <v>15</v>
      </c>
      <c r="I119" s="50"/>
      <c r="J119" s="50"/>
    </row>
    <row r="120" spans="1:10" s="5" customFormat="1" x14ac:dyDescent="0.3">
      <c r="A120" s="50"/>
      <c r="B120" s="50" t="e">
        <f ca="1">SUMCPTF(F120,G120)</f>
        <v>#NAME?</v>
      </c>
      <c r="C120" s="50" t="e">
        <f ca="1">SUMCPTF(F120,G120,-1)</f>
        <v>#NAME?</v>
      </c>
      <c r="E120" s="5" t="e">
        <f t="shared" ca="1" si="4"/>
        <v>#NAME?</v>
      </c>
      <c r="F120" s="55">
        <v>462</v>
      </c>
      <c r="G120" s="55">
        <v>462</v>
      </c>
      <c r="H120" s="54" t="s">
        <v>14</v>
      </c>
      <c r="I120" s="50"/>
      <c r="J120" s="50"/>
    </row>
    <row r="121" spans="1:10" s="5" customFormat="1" x14ac:dyDescent="0.3">
      <c r="A121" s="50"/>
      <c r="B121" s="50" t="e">
        <f ca="1">SUMCPTF(F121,G121)</f>
        <v>#NAME?</v>
      </c>
      <c r="C121" s="50" t="e">
        <f ca="1">SUMCPTF(F121,G121,-1)</f>
        <v>#NAME?</v>
      </c>
      <c r="E121" s="5" t="e">
        <f t="shared" ca="1" si="4"/>
        <v>#NAME?</v>
      </c>
      <c r="F121" s="55">
        <v>465</v>
      </c>
      <c r="G121" s="55">
        <v>465</v>
      </c>
      <c r="H121" s="54" t="s">
        <v>14</v>
      </c>
      <c r="I121" s="50"/>
      <c r="J121" s="50"/>
    </row>
    <row r="122" spans="1:10" s="5" customFormat="1" x14ac:dyDescent="0.3">
      <c r="A122" s="50"/>
      <c r="B122" s="50" t="e">
        <f t="shared" ref="B122:B127" ca="1" si="5">SUMCPTFMV(F122,G122,"sd")</f>
        <v>#NAME?</v>
      </c>
      <c r="C122" s="50" t="e">
        <f t="shared" ref="C122:C127" ca="1" si="6">SUMCPTFMV(F122,G122,"sd",-1)</f>
        <v>#NAME?</v>
      </c>
      <c r="E122" s="5" t="e">
        <f t="shared" ca="1" si="4"/>
        <v>#NAME?</v>
      </c>
      <c r="F122" s="55">
        <v>467</v>
      </c>
      <c r="G122" s="55">
        <v>467</v>
      </c>
      <c r="H122" s="54" t="s">
        <v>15</v>
      </c>
      <c r="I122" s="50"/>
      <c r="J122" s="50"/>
    </row>
    <row r="123" spans="1:10" s="5" customFormat="1" x14ac:dyDescent="0.3">
      <c r="A123" s="50"/>
      <c r="B123" s="50" t="e">
        <f t="shared" ca="1" si="5"/>
        <v>#NAME?</v>
      </c>
      <c r="C123" s="50" t="e">
        <f t="shared" ca="1" si="6"/>
        <v>#NAME?</v>
      </c>
      <c r="E123" s="5" t="e">
        <f t="shared" ca="1" si="4"/>
        <v>#NAME?</v>
      </c>
      <c r="F123" s="55">
        <v>4687</v>
      </c>
      <c r="G123" s="55">
        <v>4687</v>
      </c>
      <c r="H123" s="54" t="s">
        <v>15</v>
      </c>
      <c r="I123" s="50"/>
      <c r="J123" s="50"/>
    </row>
    <row r="124" spans="1:10" s="5" customFormat="1" x14ac:dyDescent="0.3">
      <c r="A124" s="50"/>
      <c r="B124" s="50" t="e">
        <f t="shared" ca="1" si="5"/>
        <v>#NAME?</v>
      </c>
      <c r="C124" s="50" t="e">
        <f t="shared" ca="1" si="6"/>
        <v>#NAME?</v>
      </c>
      <c r="E124" s="5" t="e">
        <f t="shared" ca="1" si="4"/>
        <v>#NAME?</v>
      </c>
      <c r="F124" s="55">
        <v>468940</v>
      </c>
      <c r="G124" s="55">
        <v>468940</v>
      </c>
      <c r="H124" s="54" t="s">
        <v>15</v>
      </c>
      <c r="I124" s="50"/>
      <c r="J124" s="50"/>
    </row>
    <row r="125" spans="1:10" s="5" customFormat="1" x14ac:dyDescent="0.3">
      <c r="A125" s="50"/>
      <c r="B125" s="50" t="e">
        <f t="shared" ca="1" si="5"/>
        <v>#NAME?</v>
      </c>
      <c r="C125" s="50" t="e">
        <f t="shared" ca="1" si="6"/>
        <v>#NAME?</v>
      </c>
      <c r="E125" s="5" t="e">
        <f t="shared" ca="1" si="4"/>
        <v>#NAME?</v>
      </c>
      <c r="F125" s="53">
        <v>4417</v>
      </c>
      <c r="G125" s="53">
        <v>4417</v>
      </c>
      <c r="H125" s="56" t="s">
        <v>15</v>
      </c>
      <c r="I125" s="50"/>
      <c r="J125" s="50"/>
    </row>
    <row r="126" spans="1:10" s="5" customFormat="1" x14ac:dyDescent="0.3">
      <c r="A126" s="50"/>
      <c r="B126" s="50" t="e">
        <f t="shared" ca="1" si="5"/>
        <v>#NAME?</v>
      </c>
      <c r="C126" s="50" t="e">
        <f t="shared" ca="1" si="6"/>
        <v>#NAME?</v>
      </c>
      <c r="E126" s="5" t="e">
        <f t="shared" ca="1" si="4"/>
        <v>#NAME?</v>
      </c>
      <c r="F126" s="60">
        <v>470</v>
      </c>
      <c r="G126" s="60">
        <v>475</v>
      </c>
      <c r="H126" s="61" t="s">
        <v>15</v>
      </c>
      <c r="I126" s="50"/>
      <c r="J126" s="50"/>
    </row>
    <row r="127" spans="1:10" s="5" customFormat="1" x14ac:dyDescent="0.3">
      <c r="A127" s="50"/>
      <c r="B127" s="50" t="e">
        <f t="shared" ca="1" si="5"/>
        <v>#NAME?</v>
      </c>
      <c r="C127" s="50" t="e">
        <f t="shared" ca="1" si="6"/>
        <v>#NAME?</v>
      </c>
      <c r="E127" s="5" t="e">
        <f t="shared" ca="1" si="4"/>
        <v>#NAME?</v>
      </c>
      <c r="F127" s="60">
        <v>478</v>
      </c>
      <c r="G127" s="60">
        <v>478</v>
      </c>
      <c r="H127" s="61" t="s">
        <v>15</v>
      </c>
      <c r="I127" s="50"/>
      <c r="J127" s="50"/>
    </row>
    <row r="128" spans="1:10" s="5" customFormat="1" x14ac:dyDescent="0.3">
      <c r="A128" s="50"/>
      <c r="B128" s="50" t="e">
        <f ca="1">SUMCPTF(F128,G128)</f>
        <v>#NAME?</v>
      </c>
      <c r="C128" s="50" t="e">
        <f ca="1">SUMCPTF(F128,G128,-1)</f>
        <v>#NAME?</v>
      </c>
      <c r="E128" s="5" t="e">
        <f t="shared" ca="1" si="4"/>
        <v>#NAME?</v>
      </c>
      <c r="F128" s="60">
        <v>520100</v>
      </c>
      <c r="G128" s="60">
        <v>520100</v>
      </c>
      <c r="H128" s="61" t="s">
        <v>14</v>
      </c>
      <c r="I128" s="50"/>
      <c r="J128" s="50"/>
    </row>
    <row r="129" spans="1:12" s="5" customFormat="1" x14ac:dyDescent="0.3">
      <c r="A129" s="50"/>
      <c r="B129" s="50" t="e">
        <f ca="1">SUMCPTFMV(F129,G129,"sd")</f>
        <v>#NAME?</v>
      </c>
      <c r="C129" s="50" t="e">
        <f ca="1">SUMCPTFMV(F129,G129,"sd",-1)</f>
        <v>#NAME?</v>
      </c>
      <c r="E129" s="5" t="e">
        <f t="shared" ca="1" si="4"/>
        <v>#NAME?</v>
      </c>
      <c r="F129" s="55"/>
      <c r="G129" s="55"/>
      <c r="H129" s="54"/>
      <c r="I129" s="50"/>
      <c r="J129" s="50"/>
    </row>
    <row r="130" spans="1:12" s="5" customFormat="1" x14ac:dyDescent="0.3">
      <c r="A130" s="50"/>
      <c r="B130" s="50" t="e">
        <f ca="1">SUMCPTFMV(F130,G130,"sd")</f>
        <v>#NAME?</v>
      </c>
      <c r="C130" s="50" t="e">
        <f ca="1">SUMCPTFMV(F130,G130,"sd",-1)</f>
        <v>#NAME?</v>
      </c>
      <c r="E130" s="5" t="e">
        <f t="shared" ca="1" si="4"/>
        <v>#NAME?</v>
      </c>
      <c r="F130" s="55"/>
      <c r="G130" s="55"/>
      <c r="H130" s="54"/>
      <c r="I130" s="50"/>
      <c r="J130" s="50"/>
    </row>
    <row r="131" spans="1:12" s="5" customFormat="1" x14ac:dyDescent="0.3">
      <c r="A131" s="50"/>
      <c r="B131" s="50"/>
      <c r="C131" s="50"/>
      <c r="F131" s="52"/>
      <c r="G131" s="52"/>
      <c r="H131" s="50"/>
      <c r="I131" s="50"/>
      <c r="J131" s="50"/>
    </row>
    <row r="132" spans="1:12" s="5" customFormat="1" x14ac:dyDescent="0.3">
      <c r="A132" s="50"/>
      <c r="B132" s="50" t="e">
        <f ca="1">SUM(B114:B130)</f>
        <v>#NAME?</v>
      </c>
      <c r="C132" s="50" t="e">
        <f ca="1">SUM(C114:C130)</f>
        <v>#NAME?</v>
      </c>
      <c r="D132" s="50" t="e">
        <f ca="1">SUM(D114:D130)</f>
        <v>#NAME?</v>
      </c>
      <c r="E132" s="50" t="e">
        <f ca="1">SUM(E114:E130)</f>
        <v>#NAME?</v>
      </c>
      <c r="F132" s="52"/>
      <c r="G132" s="52"/>
      <c r="H132" s="50"/>
      <c r="I132" s="50"/>
      <c r="J132" s="50"/>
    </row>
    <row r="133" spans="1:12" s="5" customFormat="1" x14ac:dyDescent="0.3">
      <c r="A133" s="50"/>
      <c r="B133" s="50"/>
      <c r="C133" s="50"/>
      <c r="F133" s="52"/>
      <c r="G133" s="52"/>
      <c r="H133" s="50"/>
      <c r="I133" s="50"/>
      <c r="J133" s="50"/>
    </row>
    <row r="134" spans="1:12" s="5" customFormat="1" x14ac:dyDescent="0.3">
      <c r="A134" s="50"/>
      <c r="B134" s="50"/>
      <c r="C134" s="50"/>
      <c r="F134" s="52"/>
      <c r="G134" s="52"/>
      <c r="H134" s="50"/>
      <c r="I134" s="50"/>
      <c r="J134" s="50"/>
    </row>
    <row r="135" spans="1:12" s="5" customFormat="1" x14ac:dyDescent="0.3">
      <c r="A135" s="50"/>
      <c r="B135" s="62" t="s">
        <v>18</v>
      </c>
      <c r="C135" s="50"/>
      <c r="F135" s="52"/>
      <c r="G135" s="52"/>
      <c r="H135" s="50"/>
      <c r="I135" s="50"/>
      <c r="J135" s="50"/>
    </row>
    <row r="136" spans="1:12" s="5" customFormat="1" x14ac:dyDescent="0.3">
      <c r="A136" s="50"/>
      <c r="B136" s="50" t="e">
        <f ca="1">SUMCPTF(F136,G136)</f>
        <v>#NAME?</v>
      </c>
      <c r="C136" s="50" t="e">
        <f ca="1">SUMCPTF(F136,G136,-1)</f>
        <v>#NAME?</v>
      </c>
      <c r="E136" s="5" t="e">
        <f ca="1">PHASE.SUMCPTFMV("DEC-PREV",F136,G136,H136,0,,,0)</f>
        <v>#NAME?</v>
      </c>
      <c r="F136" s="55">
        <v>495</v>
      </c>
      <c r="G136" s="55">
        <v>496</v>
      </c>
      <c r="H136" s="54" t="s">
        <v>14</v>
      </c>
      <c r="I136" s="50"/>
      <c r="J136" s="50"/>
    </row>
    <row r="137" spans="1:12" s="5" customFormat="1" x14ac:dyDescent="0.3">
      <c r="A137" s="50"/>
      <c r="B137" s="50" t="e">
        <f ca="1">SUMCPTF(F137,G137)</f>
        <v>#NAME?</v>
      </c>
      <c r="C137" s="50" t="e">
        <f ca="1">-SUMCPTF(F137,G137,-1)</f>
        <v>#NAME?</v>
      </c>
      <c r="E137" s="5" t="e">
        <f ca="1">PHASE.SUMCPTFMV("DEC-PREV",F137,G137,H137,0,,,0)</f>
        <v>#NAME?</v>
      </c>
      <c r="F137" s="53">
        <v>4963</v>
      </c>
      <c r="G137" s="53">
        <v>4965</v>
      </c>
      <c r="H137" s="56" t="s">
        <v>14</v>
      </c>
      <c r="I137" s="50"/>
      <c r="J137" s="50"/>
    </row>
    <row r="138" spans="1:12" s="5" customFormat="1" x14ac:dyDescent="0.3">
      <c r="A138" s="50"/>
      <c r="B138" s="50" t="e">
        <f ca="1">SUMCPTFMV(F138,G138)</f>
        <v>#NAME?</v>
      </c>
      <c r="C138" s="50" t="e">
        <f ca="1">SUMCPTFMV(F138,G138,-1)</f>
        <v>#NAME?</v>
      </c>
      <c r="E138" s="5" t="e">
        <f ca="1">PHASE.SUMCPTFMV("DEC-PREV",F138,G138,H138,0,,,0)</f>
        <v>#NAME?</v>
      </c>
      <c r="F138" s="55"/>
      <c r="G138" s="55"/>
      <c r="H138" s="54"/>
      <c r="I138" s="50"/>
      <c r="J138" s="50"/>
    </row>
    <row r="139" spans="1:12" s="5" customFormat="1" x14ac:dyDescent="0.3">
      <c r="A139" s="50"/>
      <c r="B139" s="50"/>
      <c r="C139" s="50"/>
      <c r="F139" s="52"/>
      <c r="G139" s="52"/>
      <c r="H139" s="50"/>
      <c r="I139" s="50"/>
      <c r="J139" s="50"/>
    </row>
    <row r="140" spans="1:12" s="5" customFormat="1" x14ac:dyDescent="0.3">
      <c r="A140" s="50"/>
      <c r="B140" s="50" t="e">
        <f ca="1">SUM(B136:B138)</f>
        <v>#NAME?</v>
      </c>
      <c r="C140" s="50" t="e">
        <f ca="1">SUM(C136:C138)</f>
        <v>#NAME?</v>
      </c>
      <c r="D140" s="50">
        <f>SUM(D136:D138)</f>
        <v>0</v>
      </c>
      <c r="E140" s="50" t="e">
        <f ca="1">SUM(E136:E138)</f>
        <v>#NAME?</v>
      </c>
      <c r="F140" s="52"/>
      <c r="G140" s="52"/>
      <c r="H140" s="50"/>
      <c r="I140" s="50"/>
      <c r="J140" s="50"/>
    </row>
    <row r="141" spans="1:12" s="5" customFormat="1" x14ac:dyDescent="0.3">
      <c r="A141" s="50"/>
      <c r="B141" s="50"/>
      <c r="C141" s="50"/>
      <c r="F141" s="52"/>
      <c r="G141" s="52"/>
      <c r="H141" s="50"/>
      <c r="I141" s="50"/>
      <c r="J141" s="50"/>
    </row>
    <row r="142" spans="1:12" s="5" customFormat="1" x14ac:dyDescent="0.3">
      <c r="A142" s="50"/>
      <c r="B142" s="62" t="s">
        <v>21</v>
      </c>
      <c r="C142" s="50"/>
      <c r="F142" s="52"/>
      <c r="G142" s="52"/>
      <c r="H142" s="50"/>
      <c r="I142" s="50"/>
      <c r="J142" s="50"/>
    </row>
    <row r="143" spans="1:12" s="5" customFormat="1" x14ac:dyDescent="0.3">
      <c r="A143" s="50"/>
      <c r="B143" s="50" t="e">
        <f ca="1">B132+B140</f>
        <v>#NAME?</v>
      </c>
      <c r="C143" s="50" t="e">
        <f ca="1">C132+C140</f>
        <v>#NAME?</v>
      </c>
      <c r="D143" s="50" t="e">
        <f ca="1">D132+D140</f>
        <v>#NAME?</v>
      </c>
      <c r="E143" s="50" t="e">
        <f ca="1">E132+E140</f>
        <v>#NAME?</v>
      </c>
      <c r="F143" s="52"/>
      <c r="G143" s="52"/>
      <c r="H143" s="50"/>
      <c r="I143" s="50"/>
    </row>
    <row r="144" spans="1:12" s="5" customFormat="1" x14ac:dyDescent="0.3">
      <c r="A144" s="50"/>
      <c r="B144" s="50"/>
      <c r="C144" s="50"/>
      <c r="F144" s="50"/>
      <c r="G144" s="50"/>
      <c r="H144" s="50"/>
      <c r="I144" s="51"/>
      <c r="J144" s="52"/>
      <c r="K144" s="52"/>
      <c r="L144" s="50"/>
    </row>
    <row r="145" spans="1:12" s="5" customFormat="1" x14ac:dyDescent="0.3">
      <c r="A145" s="50"/>
      <c r="B145" s="50"/>
      <c r="C145" s="50"/>
      <c r="F145" s="50"/>
      <c r="G145" s="50"/>
      <c r="H145" s="50"/>
      <c r="I145" s="51"/>
      <c r="J145" s="52"/>
      <c r="K145" s="52"/>
      <c r="L145" s="50"/>
    </row>
    <row r="146" spans="1:12" s="5" customFormat="1" x14ac:dyDescent="0.3">
      <c r="A146" s="50"/>
      <c r="B146" s="50"/>
      <c r="C146" s="50"/>
      <c r="F146" s="50"/>
      <c r="G146" s="50"/>
      <c r="H146" s="50"/>
      <c r="I146" s="51"/>
      <c r="J146" s="52"/>
      <c r="K146" s="52"/>
      <c r="L146" s="50"/>
    </row>
    <row r="147" spans="1:12" s="5" customFormat="1" x14ac:dyDescent="0.3">
      <c r="A147" s="50"/>
      <c r="B147" s="50"/>
      <c r="C147" s="50"/>
      <c r="F147" s="50"/>
      <c r="G147" s="50"/>
      <c r="H147" s="50"/>
      <c r="I147" s="51"/>
      <c r="J147" s="52"/>
      <c r="K147" s="52"/>
      <c r="L147" s="50"/>
    </row>
    <row r="148" spans="1:12" s="5" customFormat="1" x14ac:dyDescent="0.3">
      <c r="A148" s="50"/>
      <c r="B148" s="50"/>
      <c r="C148" s="50"/>
      <c r="F148" s="50"/>
      <c r="G148" s="50"/>
      <c r="H148" s="50"/>
      <c r="I148" s="51"/>
      <c r="J148" s="52"/>
      <c r="K148" s="52"/>
      <c r="L148" s="50"/>
    </row>
    <row r="149" spans="1:12" s="5" customFormat="1" x14ac:dyDescent="0.3">
      <c r="A149" s="50"/>
      <c r="B149" s="50"/>
      <c r="C149" s="50"/>
      <c r="F149" s="50"/>
      <c r="G149" s="50"/>
      <c r="H149" s="50"/>
      <c r="I149" s="51"/>
      <c r="J149" s="52"/>
      <c r="K149" s="52"/>
      <c r="L149" s="50"/>
    </row>
    <row r="150" spans="1:12" s="5" customFormat="1" x14ac:dyDescent="0.3">
      <c r="A150" s="50"/>
      <c r="B150" s="50"/>
      <c r="C150" s="50"/>
      <c r="F150" s="50"/>
      <c r="G150" s="50"/>
      <c r="H150" s="50"/>
      <c r="I150" s="51"/>
      <c r="J150" s="52"/>
      <c r="K150" s="52"/>
      <c r="L150" s="50"/>
    </row>
    <row r="151" spans="1:12" s="5" customFormat="1" x14ac:dyDescent="0.3">
      <c r="A151" s="50"/>
      <c r="B151" s="50"/>
      <c r="C151" s="50"/>
      <c r="F151" s="50"/>
      <c r="G151" s="50"/>
      <c r="H151" s="50"/>
      <c r="I151" s="51"/>
      <c r="J151" s="52"/>
      <c r="K151" s="52"/>
      <c r="L151" s="50"/>
    </row>
    <row r="152" spans="1:12" s="5" customFormat="1" x14ac:dyDescent="0.3">
      <c r="A152" s="50"/>
      <c r="B152" s="50"/>
      <c r="C152" s="50"/>
      <c r="F152" s="50"/>
      <c r="G152" s="50"/>
      <c r="H152" s="50"/>
      <c r="I152" s="51"/>
      <c r="J152" s="52"/>
      <c r="K152" s="52"/>
      <c r="L152" s="50"/>
    </row>
    <row r="153" spans="1:12" s="5" customFormat="1" x14ac:dyDescent="0.3">
      <c r="A153" s="50"/>
      <c r="B153" s="50"/>
      <c r="C153" s="50"/>
      <c r="F153" s="50"/>
      <c r="G153" s="50"/>
      <c r="H153" s="50"/>
      <c r="I153" s="51"/>
      <c r="J153" s="52"/>
      <c r="K153" s="52"/>
      <c r="L153" s="50"/>
    </row>
    <row r="154" spans="1:12" s="5" customFormat="1" x14ac:dyDescent="0.3">
      <c r="A154" s="50"/>
      <c r="B154" s="50"/>
      <c r="C154" s="50"/>
      <c r="F154" s="50"/>
      <c r="G154" s="50"/>
      <c r="H154" s="50"/>
      <c r="I154" s="51"/>
      <c r="J154" s="52"/>
      <c r="K154" s="52"/>
      <c r="L154" s="50"/>
    </row>
    <row r="155" spans="1:12" s="5" customFormat="1" x14ac:dyDescent="0.3">
      <c r="A155" s="50"/>
      <c r="B155" s="50"/>
      <c r="C155" s="50"/>
      <c r="F155" s="50"/>
      <c r="G155" s="50"/>
      <c r="H155" s="50"/>
      <c r="I155" s="51"/>
      <c r="J155" s="52"/>
      <c r="K155" s="52"/>
      <c r="L155" s="50"/>
    </row>
    <row r="156" spans="1:12" s="5" customFormat="1" x14ac:dyDescent="0.3">
      <c r="A156" s="50"/>
      <c r="B156" s="50"/>
      <c r="C156" s="50"/>
      <c r="F156" s="50"/>
      <c r="G156" s="50"/>
      <c r="H156" s="50"/>
      <c r="I156" s="51"/>
      <c r="J156" s="52"/>
      <c r="K156" s="52"/>
      <c r="L156" s="50"/>
    </row>
    <row r="157" spans="1:12" s="5" customFormat="1" x14ac:dyDescent="0.3">
      <c r="A157" s="50"/>
      <c r="B157" s="50"/>
      <c r="C157" s="50"/>
      <c r="F157" s="50"/>
      <c r="G157" s="50"/>
      <c r="H157" s="50"/>
      <c r="I157" s="51"/>
      <c r="J157" s="52"/>
      <c r="K157" s="52"/>
      <c r="L157" s="50"/>
    </row>
    <row r="158" spans="1:12" s="5" customFormat="1" x14ac:dyDescent="0.3">
      <c r="A158" s="50"/>
      <c r="B158" s="50"/>
      <c r="C158" s="50"/>
      <c r="F158" s="50"/>
      <c r="G158" s="50"/>
      <c r="H158" s="50"/>
      <c r="I158" s="51"/>
      <c r="J158" s="52"/>
      <c r="K158" s="52"/>
      <c r="L158" s="50"/>
    </row>
    <row r="159" spans="1:12" s="5" customFormat="1" x14ac:dyDescent="0.3">
      <c r="A159" s="50"/>
      <c r="B159" s="50"/>
      <c r="C159" s="50"/>
      <c r="F159" s="50"/>
      <c r="G159" s="50"/>
      <c r="H159" s="50"/>
      <c r="I159" s="51"/>
      <c r="J159" s="52"/>
      <c r="K159" s="52"/>
      <c r="L159" s="50"/>
    </row>
    <row r="160" spans="1:12" s="5" customFormat="1" x14ac:dyDescent="0.3">
      <c r="A160" s="50"/>
      <c r="B160" s="50"/>
      <c r="C160" s="50"/>
      <c r="F160" s="50"/>
      <c r="G160" s="50"/>
      <c r="H160" s="50"/>
      <c r="I160" s="51"/>
      <c r="J160" s="52"/>
      <c r="K160" s="52"/>
      <c r="L160" s="50"/>
    </row>
    <row r="161" spans="1:12" s="5" customFormat="1" x14ac:dyDescent="0.3">
      <c r="A161" s="50"/>
      <c r="B161" s="50"/>
      <c r="C161" s="50"/>
      <c r="F161" s="50"/>
      <c r="G161" s="50"/>
      <c r="H161" s="50"/>
      <c r="I161" s="51"/>
      <c r="J161" s="52"/>
      <c r="K161" s="52"/>
      <c r="L161" s="50"/>
    </row>
    <row r="162" spans="1:12" s="5" customFormat="1" x14ac:dyDescent="0.3">
      <c r="A162" s="50"/>
      <c r="B162" s="50"/>
      <c r="C162" s="50"/>
      <c r="F162" s="50"/>
      <c r="G162" s="50"/>
      <c r="H162" s="50"/>
      <c r="I162" s="51"/>
      <c r="J162" s="52"/>
      <c r="K162" s="52"/>
      <c r="L162" s="50"/>
    </row>
    <row r="163" spans="1:12" s="5" customFormat="1" x14ac:dyDescent="0.3">
      <c r="A163" s="50"/>
      <c r="B163" s="50"/>
      <c r="C163" s="50"/>
      <c r="F163" s="50"/>
      <c r="G163" s="50"/>
      <c r="H163" s="50"/>
      <c r="I163" s="51"/>
      <c r="J163" s="52"/>
      <c r="K163" s="52"/>
      <c r="L163" s="50"/>
    </row>
    <row r="164" spans="1:12" s="5" customFormat="1" x14ac:dyDescent="0.3">
      <c r="A164" s="50"/>
      <c r="B164" s="50"/>
      <c r="C164" s="50"/>
      <c r="F164" s="50"/>
      <c r="G164" s="50"/>
      <c r="H164" s="50"/>
      <c r="I164" s="51"/>
      <c r="J164" s="52"/>
      <c r="K164" s="52"/>
      <c r="L164" s="50"/>
    </row>
    <row r="165" spans="1:12" s="5" customFormat="1" x14ac:dyDescent="0.3">
      <c r="A165" s="50"/>
      <c r="B165" s="50"/>
      <c r="C165" s="50"/>
      <c r="F165" s="50"/>
      <c r="G165" s="50"/>
      <c r="H165" s="50"/>
      <c r="I165" s="51"/>
      <c r="J165" s="52"/>
      <c r="K165" s="52"/>
      <c r="L165" s="50"/>
    </row>
    <row r="166" spans="1:12" s="5" customFormat="1" x14ac:dyDescent="0.3">
      <c r="A166" s="50"/>
      <c r="B166" s="50"/>
      <c r="C166" s="50"/>
      <c r="F166" s="50"/>
      <c r="G166" s="50"/>
      <c r="H166" s="50"/>
      <c r="I166" s="51"/>
      <c r="J166" s="52"/>
      <c r="K166" s="52"/>
      <c r="L166" s="50"/>
    </row>
    <row r="167" spans="1:12" s="5" customFormat="1" x14ac:dyDescent="0.3">
      <c r="A167" s="50"/>
      <c r="B167" s="50"/>
      <c r="C167" s="50"/>
      <c r="F167" s="50"/>
      <c r="G167" s="50"/>
      <c r="H167" s="50"/>
      <c r="I167" s="51"/>
      <c r="J167" s="52"/>
      <c r="K167" s="52"/>
      <c r="L167" s="50"/>
    </row>
    <row r="168" spans="1:12" s="5" customFormat="1" x14ac:dyDescent="0.3">
      <c r="A168" s="50"/>
      <c r="B168" s="50"/>
      <c r="C168" s="50"/>
      <c r="F168" s="50"/>
      <c r="G168" s="50"/>
      <c r="H168" s="50"/>
      <c r="I168" s="51"/>
      <c r="J168" s="52"/>
      <c r="K168" s="52"/>
      <c r="L168" s="50"/>
    </row>
    <row r="169" spans="1:12" s="5" customFormat="1" x14ac:dyDescent="0.3">
      <c r="A169" s="50"/>
      <c r="B169" s="50"/>
      <c r="C169" s="50"/>
      <c r="F169" s="50"/>
      <c r="G169" s="50"/>
      <c r="H169" s="50"/>
      <c r="I169" s="51"/>
      <c r="J169" s="52"/>
      <c r="K169" s="52"/>
      <c r="L169" s="50"/>
    </row>
    <row r="170" spans="1:12" s="5" customFormat="1" x14ac:dyDescent="0.3">
      <c r="A170" s="50"/>
      <c r="B170" s="50"/>
      <c r="C170" s="50"/>
      <c r="F170" s="50"/>
      <c r="G170" s="50"/>
      <c r="H170" s="50"/>
      <c r="I170" s="51"/>
      <c r="J170" s="52"/>
      <c r="K170" s="52"/>
      <c r="L170" s="50"/>
    </row>
    <row r="171" spans="1:12" s="5" customFormat="1" x14ac:dyDescent="0.3">
      <c r="A171" s="50"/>
      <c r="B171" s="50"/>
      <c r="C171" s="50"/>
      <c r="F171" s="50"/>
      <c r="G171" s="50"/>
      <c r="H171" s="50"/>
      <c r="I171" s="51"/>
      <c r="J171" s="52"/>
      <c r="K171" s="52"/>
      <c r="L171" s="50"/>
    </row>
    <row r="172" spans="1:12" s="5" customFormat="1" x14ac:dyDescent="0.3">
      <c r="A172" s="50"/>
      <c r="B172" s="50"/>
      <c r="C172" s="50"/>
      <c r="F172" s="50"/>
      <c r="G172" s="50"/>
      <c r="H172" s="50"/>
      <c r="I172" s="51"/>
      <c r="J172" s="52"/>
      <c r="K172" s="52"/>
      <c r="L172" s="50"/>
    </row>
    <row r="173" spans="1:12" s="5" customFormat="1" x14ac:dyDescent="0.3">
      <c r="A173" s="50"/>
      <c r="B173" s="50"/>
      <c r="C173" s="50"/>
      <c r="F173" s="50"/>
      <c r="G173" s="50"/>
      <c r="H173" s="50"/>
      <c r="I173" s="51"/>
      <c r="J173" s="52"/>
      <c r="K173" s="52"/>
      <c r="L173" s="50"/>
    </row>
    <row r="174" spans="1:12" s="3" customFormat="1" x14ac:dyDescent="0.3">
      <c r="G174" s="50"/>
      <c r="H174" s="50"/>
      <c r="J174" s="25"/>
      <c r="K174" s="25"/>
    </row>
    <row r="175" spans="1:12" s="3" customFormat="1" x14ac:dyDescent="0.3">
      <c r="G175" s="50"/>
      <c r="H175" s="50"/>
      <c r="J175" s="25"/>
      <c r="K175" s="25"/>
    </row>
    <row r="176" spans="1:12" s="3" customFormat="1" x14ac:dyDescent="0.3">
      <c r="G176" s="50"/>
      <c r="H176" s="50"/>
      <c r="J176" s="25"/>
      <c r="K176" s="25"/>
    </row>
    <row r="177" spans="5:11" s="3" customFormat="1" x14ac:dyDescent="0.3">
      <c r="G177" s="50"/>
      <c r="H177" s="50"/>
      <c r="J177" s="25"/>
      <c r="K177" s="25"/>
    </row>
    <row r="178" spans="5:11" s="3" customFormat="1" x14ac:dyDescent="0.3">
      <c r="G178" s="50"/>
      <c r="H178" s="50"/>
      <c r="J178" s="25"/>
      <c r="K178" s="25"/>
    </row>
    <row r="179" spans="5:11" s="3" customFormat="1" x14ac:dyDescent="0.3">
      <c r="G179" s="50"/>
      <c r="H179" s="50"/>
      <c r="J179" s="25"/>
      <c r="K179" s="25"/>
    </row>
    <row r="180" spans="5:11" s="3" customFormat="1" x14ac:dyDescent="0.3">
      <c r="G180" s="50"/>
      <c r="H180" s="50"/>
      <c r="J180" s="25"/>
      <c r="K180" s="25"/>
    </row>
    <row r="181" spans="5:11" s="3" customFormat="1" x14ac:dyDescent="0.3">
      <c r="G181" s="50"/>
      <c r="H181" s="50"/>
      <c r="J181" s="25"/>
      <c r="K181" s="25"/>
    </row>
    <row r="182" spans="5:11" s="3" customFormat="1" x14ac:dyDescent="0.3">
      <c r="G182" s="50"/>
      <c r="H182" s="50"/>
      <c r="J182" s="25"/>
      <c r="K182" s="25"/>
    </row>
    <row r="183" spans="5:11" s="3" customFormat="1" x14ac:dyDescent="0.3">
      <c r="G183" s="50"/>
      <c r="H183" s="50"/>
      <c r="J183" s="25"/>
      <c r="K183" s="25"/>
    </row>
    <row r="184" spans="5:11" s="3" customFormat="1" x14ac:dyDescent="0.3">
      <c r="G184" s="50"/>
      <c r="H184" s="50"/>
      <c r="J184" s="25"/>
      <c r="K184" s="25"/>
    </row>
    <row r="185" spans="5:11" s="3" customFormat="1" x14ac:dyDescent="0.3">
      <c r="E185" s="50"/>
      <c r="F185" s="50"/>
      <c r="H185" s="25"/>
      <c r="I185" s="25"/>
    </row>
    <row r="186" spans="5:11" s="3" customFormat="1" x14ac:dyDescent="0.3">
      <c r="E186" s="50"/>
      <c r="F186" s="50"/>
      <c r="H186" s="25"/>
      <c r="I186" s="25"/>
    </row>
    <row r="187" spans="5:11" s="3" customFormat="1" x14ac:dyDescent="0.3">
      <c r="E187" s="50"/>
      <c r="F187" s="50"/>
      <c r="H187" s="25"/>
      <c r="I187" s="25"/>
    </row>
    <row r="188" spans="5:11" s="3" customFormat="1" x14ac:dyDescent="0.3">
      <c r="E188" s="50"/>
      <c r="F188" s="50"/>
      <c r="H188" s="25"/>
      <c r="I188" s="25"/>
    </row>
    <row r="189" spans="5:11" s="3" customFormat="1" x14ac:dyDescent="0.3">
      <c r="E189" s="50"/>
      <c r="F189" s="50"/>
      <c r="H189" s="25"/>
      <c r="I189" s="25"/>
    </row>
    <row r="190" spans="5:11" s="3" customFormat="1" x14ac:dyDescent="0.3">
      <c r="E190" s="50"/>
      <c r="F190" s="50"/>
      <c r="H190" s="25"/>
      <c r="I190" s="25"/>
    </row>
    <row r="191" spans="5:11" s="3" customFormat="1" x14ac:dyDescent="0.3">
      <c r="E191" s="50"/>
      <c r="F191" s="50"/>
      <c r="H191" s="25"/>
      <c r="I191" s="25"/>
    </row>
    <row r="192" spans="5:11" s="3" customFormat="1" x14ac:dyDescent="0.3">
      <c r="E192" s="50"/>
      <c r="F192" s="50"/>
      <c r="H192" s="25"/>
      <c r="I192" s="25"/>
    </row>
  </sheetData>
  <autoFilter ref="B113:H130" xr:uid="{00000000-0009-0000-0000-000002000000}"/>
  <pageMargins left="0.70138889999999998" right="0.70138889999999998" top="0.74861109999999997" bottom="0.74861109999999997" header="0.2993056" footer="0.2993056"/>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44"/>
  <sheetViews>
    <sheetView zoomScaleNormal="100" zoomScaleSheetLayoutView="100" workbookViewId="0">
      <selection activeCell="A10" sqref="A10:A53"/>
    </sheetView>
  </sheetViews>
  <sheetFormatPr baseColWidth="10" defaultRowHeight="14.5" x14ac:dyDescent="0.35"/>
  <cols>
    <col min="1" max="1" width="32.6328125" style="7" customWidth="1"/>
    <col min="2" max="2" width="28" style="7" customWidth="1"/>
    <col min="3" max="3" width="14.90625" style="63" customWidth="1"/>
    <col min="4" max="4" width="20.36328125" style="64" customWidth="1"/>
    <col min="5" max="5" width="16" style="64" customWidth="1"/>
    <col min="6" max="7" width="9.90625" style="63" customWidth="1"/>
    <col min="8" max="8" width="14.6328125" style="7" customWidth="1"/>
    <col min="9" max="9" width="12.6328125" style="7" customWidth="1"/>
    <col min="10" max="13" width="9.90625" style="63" customWidth="1"/>
    <col min="14" max="14" width="12" style="63" customWidth="1"/>
    <col min="15" max="22" width="9.90625" style="63" customWidth="1"/>
  </cols>
  <sheetData>
    <row r="1" spans="1:5" s="6" customFormat="1" ht="17" x14ac:dyDescent="0.35">
      <c r="A1" s="65" t="e">
        <f ca="1">SOCINFO("ldesc")</f>
        <v>#NAME?</v>
      </c>
      <c r="B1" s="66"/>
      <c r="C1" s="66"/>
      <c r="D1" s="67"/>
      <c r="E1" s="67"/>
    </row>
    <row r="2" spans="1:5" s="6" customFormat="1" ht="17" x14ac:dyDescent="0.35">
      <c r="A2" s="68" t="e" cm="1">
        <f t="array" aca="1" ref="A2" ca="1">"Balance sheet as at "&amp;DATECLOT()</f>
        <v>#NAME?</v>
      </c>
      <c r="B2" s="69"/>
      <c r="C2" s="69"/>
      <c r="D2" s="70"/>
      <c r="E2" s="70"/>
    </row>
    <row r="3" spans="1:5" s="6" customFormat="1" ht="17" x14ac:dyDescent="0.35">
      <c r="A3" s="69"/>
      <c r="B3" s="69"/>
      <c r="C3" s="69"/>
      <c r="D3" s="70"/>
      <c r="E3" s="70"/>
    </row>
    <row r="4" spans="1:5" s="6" customFormat="1" ht="17" x14ac:dyDescent="0.35">
      <c r="A4" s="69"/>
      <c r="B4" s="69"/>
      <c r="C4" s="69"/>
      <c r="D4" s="70"/>
      <c r="E4" s="70"/>
    </row>
    <row r="5" spans="1:5" s="6" customFormat="1" ht="17" x14ac:dyDescent="0.35">
      <c r="A5" s="69"/>
      <c r="B5" s="69"/>
      <c r="C5" s="69"/>
      <c r="D5" s="70"/>
      <c r="E5" s="70"/>
    </row>
    <row r="6" spans="1:5" s="6" customFormat="1" x14ac:dyDescent="0.35">
      <c r="A6" s="66"/>
      <c r="B6" s="66"/>
      <c r="C6" s="66"/>
      <c r="D6" s="71"/>
      <c r="E6" s="71"/>
    </row>
    <row r="7" spans="1:5" s="6" customFormat="1" x14ac:dyDescent="0.35">
      <c r="A7" s="291" t="s">
        <v>210</v>
      </c>
      <c r="B7" s="292"/>
      <c r="C7" s="293"/>
      <c r="D7" s="31" t="e" cm="1">
        <f t="array" aca="1" ref="D7" ca="1">+DATECLOT(0)</f>
        <v>#NAME?</v>
      </c>
      <c r="E7" s="72" t="e" cm="1">
        <f t="array" aca="1" ref="E7" ca="1">PHASE.DATECLOT("DEC-PREV")</f>
        <v>#NAME?</v>
      </c>
    </row>
    <row r="8" spans="1:5" s="6" customFormat="1" x14ac:dyDescent="0.35">
      <c r="A8" s="73"/>
      <c r="B8" s="73"/>
      <c r="C8" s="73"/>
      <c r="D8" s="73"/>
      <c r="E8" s="73"/>
    </row>
    <row r="9" spans="1:5" s="6" customFormat="1" x14ac:dyDescent="0.35">
      <c r="A9" s="73"/>
      <c r="B9" s="73"/>
      <c r="C9" s="73"/>
      <c r="D9" s="73"/>
      <c r="E9" s="73"/>
    </row>
    <row r="10" spans="1:5" s="6" customFormat="1" x14ac:dyDescent="0.35">
      <c r="A10" s="74" t="s">
        <v>211</v>
      </c>
      <c r="B10" s="75" t="s">
        <v>22</v>
      </c>
      <c r="C10" s="76" t="e">
        <f ca="1">FISCA("2051_DAV")</f>
        <v>#NAME?</v>
      </c>
      <c r="D10" s="76" t="e">
        <f ca="1">FISCA("2051_DA")</f>
        <v>#NAME?</v>
      </c>
      <c r="E10" s="77" t="e">
        <f ca="1">PHASE.FISCA("DEC-PREV","2051_DA")</f>
        <v>#NAME?</v>
      </c>
    </row>
    <row r="11" spans="1:5" s="6" customFormat="1" x14ac:dyDescent="0.35">
      <c r="A11" s="296" t="s">
        <v>212</v>
      </c>
      <c r="B11" s="74"/>
      <c r="C11" s="74"/>
      <c r="D11" s="76" t="e">
        <f ca="1">FISCA("2051_DB")</f>
        <v>#NAME?</v>
      </c>
      <c r="E11" s="77" t="e">
        <f ca="1">PHASE.FISCA("DEC-PREV","2051_DB")</f>
        <v>#NAME?</v>
      </c>
    </row>
    <row r="12" spans="1:5" s="6" customFormat="1" x14ac:dyDescent="0.35">
      <c r="A12" s="74" t="s">
        <v>213</v>
      </c>
      <c r="B12" s="290"/>
      <c r="C12" s="290"/>
      <c r="D12" s="76" t="e">
        <f ca="1">FISCA("2051_DC")</f>
        <v>#NAME?</v>
      </c>
      <c r="E12" s="77" t="e">
        <f ca="1">PHASE.FISCA("DEC-PREV","2051_DC")</f>
        <v>#NAME?</v>
      </c>
    </row>
    <row r="13" spans="1:5" s="6" customFormat="1" x14ac:dyDescent="0.35">
      <c r="A13" s="296" t="s">
        <v>214</v>
      </c>
      <c r="B13" s="74"/>
      <c r="C13" s="74"/>
      <c r="D13" s="76" t="e">
        <f ca="1">FISCA("2051_DD")</f>
        <v>#NAME?</v>
      </c>
      <c r="E13" s="77" t="e">
        <f ca="1">PHASE.FISCA("DEC-PREV","2051_DD")</f>
        <v>#NAME?</v>
      </c>
    </row>
    <row r="14" spans="1:5" s="6" customFormat="1" x14ac:dyDescent="0.35">
      <c r="A14" s="296" t="s">
        <v>215</v>
      </c>
      <c r="B14" s="74"/>
      <c r="C14" s="74"/>
      <c r="D14" s="76" t="e">
        <f ca="1">FISCA("2051_DE")</f>
        <v>#NAME?</v>
      </c>
      <c r="E14" s="77" t="e">
        <f ca="1">PHASE.FISCA("DEC-PREV","2051_EN")</f>
        <v>#NAME?</v>
      </c>
    </row>
    <row r="15" spans="1:5" s="6" customFormat="1" x14ac:dyDescent="0.35">
      <c r="A15" s="296" t="s">
        <v>216</v>
      </c>
      <c r="B15" s="74"/>
      <c r="C15" s="74"/>
      <c r="D15" s="76" t="e">
        <f ca="1">FISCA("2051_DF")</f>
        <v>#NAME?</v>
      </c>
      <c r="E15" s="77" t="e">
        <f ca="1">PHASE.FISCA("DEC-PREV","2051_DF")</f>
        <v>#NAME?</v>
      </c>
    </row>
    <row r="16" spans="1:5" s="6" customFormat="1" x14ac:dyDescent="0.35">
      <c r="A16" s="296" t="s">
        <v>217</v>
      </c>
      <c r="B16" s="74"/>
      <c r="C16" s="74"/>
      <c r="D16" s="76" t="e">
        <f ca="1">FISCA("2051_DG")</f>
        <v>#NAME?</v>
      </c>
      <c r="E16" s="77" t="e">
        <f ca="1">PHASE.FISCA("DEC-PREV","2051_DG")</f>
        <v>#NAME?</v>
      </c>
    </row>
    <row r="17" spans="1:5" s="6" customFormat="1" x14ac:dyDescent="0.35">
      <c r="A17" s="78" t="s">
        <v>23</v>
      </c>
      <c r="B17" s="78"/>
      <c r="C17" s="78"/>
      <c r="D17" s="79" t="e">
        <f ca="1">SUM(D13:D16)</f>
        <v>#NAME?</v>
      </c>
      <c r="E17" s="79" t="e">
        <f ca="1">SUM(E13:E16)</f>
        <v>#NAME?</v>
      </c>
    </row>
    <row r="18" spans="1:5" s="6" customFormat="1" x14ac:dyDescent="0.35">
      <c r="A18" s="296" t="s">
        <v>218</v>
      </c>
      <c r="B18" s="74"/>
      <c r="C18" s="74"/>
      <c r="D18" s="76" t="e">
        <f ca="1">FISCA("2051_DH")-D20</f>
        <v>#NAME?</v>
      </c>
      <c r="E18" s="76" t="e">
        <f ca="1">PHASE.FISCA("DEC-PREV","2051_DH")-E20</f>
        <v>#NAME?</v>
      </c>
    </row>
    <row r="19" spans="1:5" s="6" customFormat="1" x14ac:dyDescent="0.35">
      <c r="A19" s="302" t="s">
        <v>219</v>
      </c>
      <c r="B19" s="80"/>
      <c r="C19" s="80"/>
      <c r="D19" s="81" t="e">
        <f ca="1">FISCA("2051_DI")</f>
        <v>#NAME?</v>
      </c>
      <c r="E19" s="82" t="e">
        <f ca="1">PHASE.FISCA("DEC-PREV","2051_DI")</f>
        <v>#NAME?</v>
      </c>
    </row>
    <row r="20" spans="1:5" s="6" customFormat="1" x14ac:dyDescent="0.35">
      <c r="A20" s="296" t="s">
        <v>220</v>
      </c>
      <c r="B20" s="74"/>
      <c r="C20" s="74"/>
      <c r="D20" s="76" t="e">
        <f ca="1">-COMPTA("128000")</f>
        <v>#NAME?</v>
      </c>
      <c r="E20" s="77" t="e">
        <f ca="1">-PHASE.COMPTA("DEC-PREV","128000")</f>
        <v>#NAME?</v>
      </c>
    </row>
    <row r="21" spans="1:5" s="6" customFormat="1" x14ac:dyDescent="0.35">
      <c r="A21" s="296" t="s">
        <v>221</v>
      </c>
      <c r="B21" s="74"/>
      <c r="C21" s="74"/>
      <c r="D21" s="76" t="e">
        <f ca="1">FISCA("2051_DJ")</f>
        <v>#NAME?</v>
      </c>
      <c r="E21" s="77" t="e">
        <f ca="1">PHASE.FISCA("DEC-PREV","2051_DJ")</f>
        <v>#NAME?</v>
      </c>
    </row>
    <row r="22" spans="1:5" s="6" customFormat="1" x14ac:dyDescent="0.35">
      <c r="A22" s="296" t="s">
        <v>222</v>
      </c>
      <c r="B22" s="74"/>
      <c r="C22" s="74"/>
      <c r="D22" s="76" t="e">
        <f ca="1">FISCA("2051_DK")</f>
        <v>#NAME?</v>
      </c>
      <c r="E22" s="77" t="e">
        <f ca="1">PHASE.FISCA("DEC-PREV","2051_DK")</f>
        <v>#NAME?</v>
      </c>
    </row>
    <row r="23" spans="1:5" s="6" customFormat="1" x14ac:dyDescent="0.35">
      <c r="A23" s="83" t="s">
        <v>223</v>
      </c>
      <c r="B23" s="84"/>
      <c r="C23" s="84"/>
      <c r="D23" s="85" t="e">
        <f ca="1">D10+D11+D12+D17+D18+D19+D20+D21+D22</f>
        <v>#NAME?</v>
      </c>
      <c r="E23" s="85" t="e">
        <f ca="1">E10+E11+E12+E17+E18+E19+E20+E21+E22</f>
        <v>#NAME?</v>
      </c>
    </row>
    <row r="24" spans="1:5" s="6" customFormat="1" x14ac:dyDescent="0.35">
      <c r="A24" s="303" t="s">
        <v>224</v>
      </c>
      <c r="B24" s="74"/>
      <c r="C24" s="74"/>
      <c r="D24" s="76" t="e">
        <f ca="1">FISCA("2051_DM")</f>
        <v>#NAME?</v>
      </c>
      <c r="E24" s="76" t="e">
        <f ca="1">PHASE.FISCA("DEC-PREV","2051_DM")</f>
        <v>#NAME?</v>
      </c>
    </row>
    <row r="25" spans="1:5" s="6" customFormat="1" x14ac:dyDescent="0.35">
      <c r="A25" s="303" t="s">
        <v>224</v>
      </c>
      <c r="B25" s="74"/>
      <c r="C25" s="74"/>
      <c r="D25" s="76" t="e">
        <f ca="1">FISCA("2051_DN")</f>
        <v>#NAME?</v>
      </c>
      <c r="E25" s="76" t="e">
        <f ca="1">PHASE.FISCA("DEC-PREV","2051_DN")</f>
        <v>#NAME?</v>
      </c>
    </row>
    <row r="26" spans="1:5" s="6" customFormat="1" x14ac:dyDescent="0.35">
      <c r="A26" s="303" t="s">
        <v>224</v>
      </c>
      <c r="B26" s="84"/>
      <c r="C26" s="84"/>
      <c r="D26" s="85" t="e">
        <f ca="1">SUM(D24:D25)</f>
        <v>#NAME?</v>
      </c>
      <c r="E26" s="85" t="e">
        <f ca="1">SUM(E24:E25)</f>
        <v>#NAME?</v>
      </c>
    </row>
    <row r="27" spans="1:5" s="6" customFormat="1" x14ac:dyDescent="0.35">
      <c r="A27" s="296" t="s">
        <v>225</v>
      </c>
      <c r="B27" s="74"/>
      <c r="C27" s="74"/>
      <c r="D27" s="76" t="e">
        <f ca="1">FISCA("2051_DP")</f>
        <v>#NAME?</v>
      </c>
      <c r="E27" s="76" t="e">
        <f ca="1">PHASE.FISCA("DEC-PREV","2051_DP")</f>
        <v>#NAME?</v>
      </c>
    </row>
    <row r="28" spans="1:5" s="6" customFormat="1" x14ac:dyDescent="0.35">
      <c r="A28" s="296" t="s">
        <v>226</v>
      </c>
      <c r="B28" s="74"/>
      <c r="C28" s="74"/>
      <c r="D28" s="76" t="e">
        <f ca="1">FISCA("2051_DQ")</f>
        <v>#NAME?</v>
      </c>
      <c r="E28" s="76" t="e">
        <f ca="1">PHASE.FISCA("DEC-PREV","2051_DQ")</f>
        <v>#NAME?</v>
      </c>
    </row>
    <row r="29" spans="1:5" s="6" customFormat="1" ht="14.5" customHeight="1" x14ac:dyDescent="0.35">
      <c r="A29" s="304" t="s">
        <v>227</v>
      </c>
      <c r="B29" s="84"/>
      <c r="C29" s="84"/>
      <c r="D29" s="85" t="e">
        <f ca="1">SUM(D27:D28)</f>
        <v>#NAME?</v>
      </c>
      <c r="E29" s="85" t="e">
        <f ca="1">SUM(E27:E28)</f>
        <v>#NAME?</v>
      </c>
    </row>
    <row r="30" spans="1:5" s="6" customFormat="1" x14ac:dyDescent="0.35">
      <c r="A30" s="296" t="s">
        <v>228</v>
      </c>
      <c r="B30" s="74"/>
      <c r="C30" s="74"/>
      <c r="D30" s="76" t="e">
        <f ca="1">FISCA("2051_DS")</f>
        <v>#NAME?</v>
      </c>
      <c r="E30" s="76" t="e">
        <f ca="1">PHASE.FISCA("DEC-PREV","2051_DS")</f>
        <v>#NAME?</v>
      </c>
    </row>
    <row r="31" spans="1:5" s="6" customFormat="1" x14ac:dyDescent="0.35">
      <c r="A31" s="296" t="s">
        <v>229</v>
      </c>
      <c r="B31" s="74"/>
      <c r="C31" s="74"/>
      <c r="D31" s="76" t="e">
        <f ca="1">FISCA("2051_DT")</f>
        <v>#NAME?</v>
      </c>
      <c r="E31" s="77" t="e">
        <f ca="1">PHASE.FISCA("DEC-PREV","2051_DT")</f>
        <v>#NAME?</v>
      </c>
    </row>
    <row r="32" spans="1:5" s="6" customFormat="1" x14ac:dyDescent="0.35">
      <c r="A32" s="296" t="s">
        <v>230</v>
      </c>
      <c r="B32" s="74"/>
      <c r="C32" s="74"/>
      <c r="D32" s="76" t="e">
        <f ca="1">FISCA("2051_DU")-D46</f>
        <v>#NAME?</v>
      </c>
      <c r="E32" s="76" t="e">
        <f ca="1">PHASE.FISCA("DEC-PREV","2051_DU")-E46</f>
        <v>#NAME?</v>
      </c>
    </row>
    <row r="33" spans="1:8" s="6" customFormat="1" x14ac:dyDescent="0.35">
      <c r="A33" s="296" t="s">
        <v>231</v>
      </c>
      <c r="B33" s="74"/>
      <c r="C33" s="74"/>
      <c r="D33" s="76" t="e">
        <f ca="1">FISCA("2051_DV")</f>
        <v>#NAME?</v>
      </c>
      <c r="E33" s="77" t="e">
        <f ca="1">PHASE.FISCA("DEC-PREV","2051_DV")</f>
        <v>#NAME?</v>
      </c>
    </row>
    <row r="34" spans="1:8" s="6" customFormat="1" x14ac:dyDescent="0.35">
      <c r="A34" s="304" t="s">
        <v>232</v>
      </c>
      <c r="B34" s="84"/>
      <c r="C34" s="84"/>
      <c r="D34" s="85" t="e">
        <f ca="1">SUM(D30:D33)</f>
        <v>#NAME?</v>
      </c>
      <c r="E34" s="85" t="e">
        <f ca="1">SUM(E30:E33)</f>
        <v>#NAME?</v>
      </c>
    </row>
    <row r="35" spans="1:8" s="6" customFormat="1" x14ac:dyDescent="0.35">
      <c r="A35" s="305" t="s">
        <v>233</v>
      </c>
      <c r="B35" s="86"/>
      <c r="C35" s="86"/>
      <c r="D35" s="87" t="e">
        <f ca="1">FISCA("2051_DW")</f>
        <v>#NAME?</v>
      </c>
      <c r="E35" s="77" t="e">
        <f ca="1">PHASE.FISCA("DEC-PREV","2051_DW")</f>
        <v>#NAME?</v>
      </c>
    </row>
    <row r="36" spans="1:8" s="6" customFormat="1" x14ac:dyDescent="0.35">
      <c r="A36" s="296" t="s">
        <v>234</v>
      </c>
      <c r="B36" s="74"/>
      <c r="C36" s="74"/>
      <c r="D36" s="76" t="e">
        <f ca="1">FISCA("2051_DX")</f>
        <v>#NAME?</v>
      </c>
      <c r="E36" s="76" t="e">
        <f ca="1">PHASE.FISCA("DEC-PREV","2051_DX")</f>
        <v>#NAME?</v>
      </c>
    </row>
    <row r="37" spans="1:8" s="6" customFormat="1" x14ac:dyDescent="0.35">
      <c r="A37" s="296" t="s">
        <v>235</v>
      </c>
      <c r="B37" s="74"/>
      <c r="C37" s="74"/>
      <c r="D37" s="76" t="e">
        <f ca="1">-D85</f>
        <v>#NAME?</v>
      </c>
      <c r="E37" s="76" t="e">
        <f ca="1">-E85</f>
        <v>#NAME?</v>
      </c>
      <c r="H37" s="88"/>
    </row>
    <row r="38" spans="1:8" s="6" customFormat="1" x14ac:dyDescent="0.35">
      <c r="A38" s="296" t="s">
        <v>236</v>
      </c>
      <c r="B38" s="74"/>
      <c r="C38" s="74"/>
      <c r="D38" s="76" t="e">
        <f ca="1">-D96</f>
        <v>#NAME?</v>
      </c>
      <c r="E38" s="76" t="e">
        <f ca="1">-E96</f>
        <v>#NAME?</v>
      </c>
    </row>
    <row r="39" spans="1:8" s="6" customFormat="1" x14ac:dyDescent="0.35">
      <c r="A39" s="305" t="s">
        <v>237</v>
      </c>
      <c r="B39" s="86"/>
      <c r="C39" s="86"/>
      <c r="D39" s="87" t="e">
        <f ca="1">SUM(D36:D38)</f>
        <v>#NAME?</v>
      </c>
      <c r="E39" s="87" t="e">
        <f ca="1">SUM(E36:E38)</f>
        <v>#NAME?</v>
      </c>
    </row>
    <row r="40" spans="1:8" s="6" customFormat="1" x14ac:dyDescent="0.35">
      <c r="A40" s="296" t="s">
        <v>238</v>
      </c>
      <c r="B40" s="74"/>
      <c r="C40" s="74"/>
      <c r="D40" s="76" t="e">
        <f ca="1">FISCA("2051_DZ")</f>
        <v>#NAME?</v>
      </c>
      <c r="E40" s="76" t="e">
        <f ca="1">PHASE.FISCA("DEC-PREV","2051_DZ")</f>
        <v>#NAME?</v>
      </c>
    </row>
    <row r="41" spans="1:8" s="6" customFormat="1" x14ac:dyDescent="0.35">
      <c r="A41" s="296" t="s">
        <v>239</v>
      </c>
      <c r="B41" s="74"/>
      <c r="C41" s="74"/>
      <c r="D41" s="76" t="e">
        <f ca="1">-D105</f>
        <v>#NAME?</v>
      </c>
      <c r="E41" s="76" t="e">
        <f ca="1">-E105</f>
        <v>#NAME?</v>
      </c>
    </row>
    <row r="42" spans="1:8" s="6" customFormat="1" x14ac:dyDescent="0.35">
      <c r="A42" s="296" t="s">
        <v>240</v>
      </c>
      <c r="B42" s="74"/>
      <c r="C42" s="74"/>
      <c r="D42" s="76" t="e">
        <f ca="1">-D125</f>
        <v>#NAME?</v>
      </c>
      <c r="E42" s="76" t="e">
        <f ca="1">-E125</f>
        <v>#NAME?</v>
      </c>
    </row>
    <row r="43" spans="1:8" s="6" customFormat="1" x14ac:dyDescent="0.35">
      <c r="A43" s="305" t="s">
        <v>241</v>
      </c>
      <c r="B43" s="86"/>
      <c r="C43" s="86"/>
      <c r="D43" s="87" t="e">
        <f ca="1">SUM(D40:D42)</f>
        <v>#NAME?</v>
      </c>
      <c r="E43" s="87" t="e">
        <f ca="1">SUM(E40:E42)</f>
        <v>#NAME?</v>
      </c>
    </row>
    <row r="44" spans="1:8" s="6" customFormat="1" x14ac:dyDescent="0.35">
      <c r="A44" s="304" t="s">
        <v>242</v>
      </c>
      <c r="B44" s="84"/>
      <c r="C44" s="84"/>
      <c r="D44" s="85" t="e">
        <f ca="1">+D35+D39+D43</f>
        <v>#NAME?</v>
      </c>
      <c r="E44" s="85" t="e">
        <f ca="1">+E35+E39+E43</f>
        <v>#NAME?</v>
      </c>
    </row>
    <row r="45" spans="1:8" s="6" customFormat="1" x14ac:dyDescent="0.35">
      <c r="A45" s="89"/>
      <c r="B45" s="89"/>
      <c r="C45" s="89"/>
      <c r="D45" s="89"/>
      <c r="E45" s="89"/>
    </row>
    <row r="46" spans="1:8" s="6" customFormat="1" ht="14.5" customHeight="1" x14ac:dyDescent="0.35">
      <c r="A46" s="304" t="s">
        <v>243</v>
      </c>
      <c r="B46" s="84"/>
      <c r="C46" s="84"/>
      <c r="D46" s="90" t="e">
        <f ca="1">-SUMCPT("519")</f>
        <v>#NAME?</v>
      </c>
      <c r="E46" s="90" t="e">
        <f ca="1">-PHASE.SUMCPT("DEC-PREV","519")</f>
        <v>#NAME?</v>
      </c>
    </row>
    <row r="47" spans="1:8" s="6" customFormat="1" x14ac:dyDescent="0.35">
      <c r="A47" s="306" t="s">
        <v>244</v>
      </c>
      <c r="B47" s="74"/>
      <c r="C47" s="74"/>
      <c r="D47" s="76" t="e">
        <f ca="1">FISCA("2051_EB")</f>
        <v>#NAME?</v>
      </c>
      <c r="E47" s="77" t="e">
        <f ca="1">PHASE.FISCA("DEC-PREV","2051_EB")</f>
        <v>#NAME?</v>
      </c>
    </row>
    <row r="48" spans="1:8" s="7" customFormat="1" x14ac:dyDescent="0.35">
      <c r="A48" s="297" t="s">
        <v>245</v>
      </c>
      <c r="B48" s="91"/>
      <c r="C48" s="91"/>
      <c r="D48" s="92" t="e">
        <f ca="1">D34+D44+D46+D47</f>
        <v>#NAME?</v>
      </c>
      <c r="E48" s="92" t="e">
        <f ca="1">E34+E44+E46+E47</f>
        <v>#NAME?</v>
      </c>
    </row>
    <row r="49" spans="1:20" s="6" customFormat="1" ht="14.4" customHeight="1" x14ac:dyDescent="0.35">
      <c r="A49" s="307" t="s">
        <v>246</v>
      </c>
      <c r="B49" s="93"/>
      <c r="C49" s="93"/>
      <c r="D49" s="94" t="e">
        <f ca="1">FISCA("2051_ED")</f>
        <v>#NAME?</v>
      </c>
      <c r="E49" s="94" t="e">
        <f ca="1">PHASE.FISCA("DEC-PREV","2051_ED")</f>
        <v>#NAME?</v>
      </c>
    </row>
    <row r="50" spans="1:20" s="6" customFormat="1" x14ac:dyDescent="0.35">
      <c r="A50" s="304" t="s">
        <v>204</v>
      </c>
      <c r="B50" s="84"/>
      <c r="C50" s="84"/>
      <c r="D50" s="85" t="e">
        <f ca="1">D23+D26+D29+D48+D49</f>
        <v>#NAME?</v>
      </c>
      <c r="E50" s="85" t="e">
        <f ca="1">E23+E26+E29+E48+E49</f>
        <v>#NAME?</v>
      </c>
    </row>
    <row r="51" spans="1:20" s="6" customFormat="1" x14ac:dyDescent="0.35">
      <c r="A51" s="306" t="s">
        <v>247</v>
      </c>
      <c r="B51" s="95"/>
      <c r="C51" s="95"/>
      <c r="D51" s="96"/>
      <c r="E51" s="96"/>
    </row>
    <row r="52" spans="1:20" s="6" customFormat="1" x14ac:dyDescent="0.35">
      <c r="A52" s="306" t="s">
        <v>248</v>
      </c>
      <c r="B52" s="95"/>
      <c r="C52" s="95"/>
      <c r="D52" s="96"/>
      <c r="E52" s="96"/>
    </row>
    <row r="53" spans="1:20" s="6" customFormat="1" x14ac:dyDescent="0.35">
      <c r="A53" s="306" t="s">
        <v>249</v>
      </c>
      <c r="B53" s="95"/>
      <c r="C53" s="95"/>
      <c r="D53" s="96"/>
      <c r="E53" s="96"/>
    </row>
    <row r="54" spans="1:20" s="6" customFormat="1" x14ac:dyDescent="0.35">
      <c r="A54" s="97" t="s">
        <v>25</v>
      </c>
      <c r="B54" s="98"/>
      <c r="C54" s="98"/>
      <c r="D54" s="98"/>
      <c r="E54" s="98"/>
    </row>
    <row r="55" spans="1:20" s="6" customFormat="1" x14ac:dyDescent="0.35">
      <c r="A55" s="99"/>
      <c r="B55" s="99"/>
      <c r="C55" s="99"/>
      <c r="D55" s="99"/>
      <c r="E55" s="99"/>
    </row>
    <row r="56" spans="1:20" s="6" customFormat="1" x14ac:dyDescent="0.35">
      <c r="A56" s="99"/>
      <c r="B56" s="99" t="s">
        <v>26</v>
      </c>
      <c r="C56" s="99"/>
      <c r="D56" s="100" t="e">
        <f ca="1">FISCA("2050_CONet")</f>
        <v>#NAME?</v>
      </c>
      <c r="E56" s="101" t="e">
        <f ca="1">PHASE.FISCA("DEC-PREV","2050_CONet")</f>
        <v>#NAME?</v>
      </c>
    </row>
    <row r="57" spans="1:20" s="6" customFormat="1" x14ac:dyDescent="0.35">
      <c r="A57" s="102"/>
      <c r="B57" s="102" t="s">
        <v>27</v>
      </c>
      <c r="C57" s="99"/>
      <c r="D57" s="100" t="e">
        <f ca="1">+D50-D56</f>
        <v>#NAME?</v>
      </c>
      <c r="E57" s="100" t="e">
        <f ca="1">+E50-E56</f>
        <v>#NAME?</v>
      </c>
    </row>
    <row r="58" spans="1:20" s="6" customFormat="1" x14ac:dyDescent="0.35">
      <c r="A58" s="103"/>
      <c r="B58" s="103"/>
      <c r="C58" s="103"/>
      <c r="D58" s="103"/>
      <c r="E58" s="103"/>
    </row>
    <row r="59" spans="1:20" s="6" customFormat="1" x14ac:dyDescent="0.35">
      <c r="A59" s="104"/>
      <c r="B59" s="104"/>
      <c r="C59" s="104"/>
      <c r="D59" s="100"/>
      <c r="E59" s="100"/>
    </row>
    <row r="60" spans="1:20" s="6" customFormat="1" x14ac:dyDescent="0.35">
      <c r="A60" s="105"/>
      <c r="B60" s="105"/>
      <c r="C60" s="104"/>
      <c r="D60" s="100"/>
      <c r="E60" s="100"/>
    </row>
    <row r="61" spans="1:20" s="8" customFormat="1" x14ac:dyDescent="0.35">
      <c r="A61" s="66" t="s">
        <v>9</v>
      </c>
      <c r="D61" s="106" t="s">
        <v>28</v>
      </c>
      <c r="E61" s="106" t="s">
        <v>29</v>
      </c>
    </row>
    <row r="62" spans="1:20" s="8" customFormat="1" x14ac:dyDescent="0.35">
      <c r="D62" s="64" t="s">
        <v>30</v>
      </c>
      <c r="N62" s="66" t="s">
        <v>28</v>
      </c>
      <c r="O62" s="106"/>
    </row>
    <row r="63" spans="1:20" s="8" customFormat="1" x14ac:dyDescent="0.35">
      <c r="C63" s="66" t="s">
        <v>16</v>
      </c>
      <c r="D63" s="66" t="e">
        <f ca="1">SUMCPTFMV(F63,G63,"sc")</f>
        <v>#NAME?</v>
      </c>
      <c r="E63" s="107" t="e">
        <f t="shared" ref="E63:E83" ca="1" si="0">PHASE.SUMCPTFMV("DEC-PREV",F63,G63,H63,0,,,0)</f>
        <v>#NAME?</v>
      </c>
      <c r="F63" s="66">
        <v>421</v>
      </c>
      <c r="G63" s="66">
        <v>423</v>
      </c>
      <c r="H63" s="66" t="s">
        <v>31</v>
      </c>
      <c r="I63" s="66"/>
      <c r="J63" s="66"/>
      <c r="K63" s="66"/>
      <c r="L63" s="66"/>
      <c r="M63" s="66"/>
      <c r="N63" s="66"/>
      <c r="O63" s="66"/>
      <c r="P63" s="7"/>
      <c r="Q63" s="7"/>
      <c r="R63" s="7"/>
      <c r="S63" s="7"/>
      <c r="T63" s="7"/>
    </row>
    <row r="64" spans="1:20" s="7" customFormat="1" x14ac:dyDescent="0.35">
      <c r="C64" s="66" t="s">
        <v>16</v>
      </c>
      <c r="D64" s="66" t="e">
        <f ca="1">SUMCPTFMV(F64,G64,"sc")</f>
        <v>#NAME?</v>
      </c>
      <c r="E64" s="107" t="e">
        <f t="shared" ca="1" si="0"/>
        <v>#NAME?</v>
      </c>
      <c r="F64" s="66">
        <v>427</v>
      </c>
      <c r="G64" s="66">
        <v>427</v>
      </c>
      <c r="H64" s="66" t="s">
        <v>31</v>
      </c>
      <c r="I64" s="66"/>
      <c r="J64" s="66"/>
      <c r="K64" s="66"/>
      <c r="L64" s="66"/>
      <c r="M64" s="66"/>
      <c r="N64" s="66" t="e">
        <f t="shared" ref="N64:N73" ca="1" si="1">+SUMCPTF(P67,Q67)</f>
        <v>#NAME?</v>
      </c>
      <c r="O64" s="66"/>
      <c r="P64" s="66">
        <v>519</v>
      </c>
      <c r="Q64" s="66">
        <v>519</v>
      </c>
      <c r="R64" s="66" t="s">
        <v>32</v>
      </c>
    </row>
    <row r="65" spans="3:18" s="7" customFormat="1" x14ac:dyDescent="0.35">
      <c r="C65" s="66" t="s">
        <v>16</v>
      </c>
      <c r="D65" s="66" t="e">
        <f ca="1">+SUMCPTF(F65,G65)</f>
        <v>#NAME?</v>
      </c>
      <c r="E65" s="107" t="e">
        <f t="shared" ca="1" si="0"/>
        <v>#NAME?</v>
      </c>
      <c r="F65" s="66">
        <v>4280</v>
      </c>
      <c r="G65" s="66">
        <v>428359</v>
      </c>
      <c r="H65" s="66" t="s">
        <v>14</v>
      </c>
      <c r="I65" s="66"/>
      <c r="J65" s="66"/>
      <c r="K65" s="66"/>
      <c r="L65" s="66"/>
      <c r="M65" s="66"/>
      <c r="N65" s="66" t="e">
        <f t="shared" ca="1" si="1"/>
        <v>#NAME?</v>
      </c>
      <c r="O65" s="66"/>
      <c r="P65" s="66">
        <v>5191</v>
      </c>
      <c r="Q65" s="66">
        <v>5191</v>
      </c>
      <c r="R65" s="66" t="s">
        <v>32</v>
      </c>
    </row>
    <row r="66" spans="3:18" s="7" customFormat="1" x14ac:dyDescent="0.35">
      <c r="C66" s="66" t="s">
        <v>16</v>
      </c>
      <c r="D66" s="66" t="e">
        <f ca="1">+SUMCPTF(F66,G66)</f>
        <v>#NAME?</v>
      </c>
      <c r="E66" s="107" t="e">
        <f t="shared" ca="1" si="0"/>
        <v>#NAME?</v>
      </c>
      <c r="F66" s="66">
        <v>428361</v>
      </c>
      <c r="G66" s="66">
        <v>428399</v>
      </c>
      <c r="H66" s="66" t="s">
        <v>14</v>
      </c>
      <c r="I66" s="66"/>
      <c r="J66" s="66"/>
      <c r="N66" s="66" t="e">
        <f t="shared" ca="1" si="1"/>
        <v>#NAME?</v>
      </c>
      <c r="O66" s="66"/>
      <c r="P66" s="66">
        <v>5192</v>
      </c>
      <c r="Q66" s="66">
        <v>5192</v>
      </c>
      <c r="R66" s="66" t="s">
        <v>32</v>
      </c>
    </row>
    <row r="67" spans="3:18" s="7" customFormat="1" x14ac:dyDescent="0.35">
      <c r="C67" s="66" t="s">
        <v>16</v>
      </c>
      <c r="D67" s="66" t="e">
        <f ca="1">+SUMCPTF(F67,G67)</f>
        <v>#NAME?</v>
      </c>
      <c r="E67" s="107" t="e">
        <f t="shared" ca="1" si="0"/>
        <v>#NAME?</v>
      </c>
      <c r="F67" s="66">
        <v>428401</v>
      </c>
      <c r="G67" s="66">
        <v>428699</v>
      </c>
      <c r="H67" s="66" t="s">
        <v>14</v>
      </c>
      <c r="N67" s="66" t="e">
        <f t="shared" ca="1" si="1"/>
        <v>#NAME?</v>
      </c>
      <c r="O67" s="66"/>
      <c r="P67" s="66">
        <v>5193</v>
      </c>
      <c r="Q67" s="66">
        <v>5193</v>
      </c>
      <c r="R67" s="66" t="s">
        <v>32</v>
      </c>
    </row>
    <row r="68" spans="3:18" s="7" customFormat="1" x14ac:dyDescent="0.35">
      <c r="C68" s="66" t="s">
        <v>16</v>
      </c>
      <c r="D68" s="66" t="e">
        <f ca="1">+SUMCPTF(F68,G68)</f>
        <v>#NAME?</v>
      </c>
      <c r="E68" s="107" t="e">
        <f t="shared" ca="1" si="0"/>
        <v>#NAME?</v>
      </c>
      <c r="F68" s="66">
        <v>4289</v>
      </c>
      <c r="G68" s="66">
        <v>42893</v>
      </c>
      <c r="H68" s="66" t="s">
        <v>14</v>
      </c>
      <c r="N68" s="66" t="e">
        <f t="shared" ca="1" si="1"/>
        <v>#NAME?</v>
      </c>
      <c r="O68" s="66"/>
      <c r="P68" s="66">
        <v>5194</v>
      </c>
      <c r="Q68" s="66">
        <v>5194</v>
      </c>
      <c r="R68" s="66" t="s">
        <v>32</v>
      </c>
    </row>
    <row r="69" spans="3:18" s="7" customFormat="1" x14ac:dyDescent="0.35">
      <c r="C69" s="66" t="s">
        <v>16</v>
      </c>
      <c r="D69" s="66" t="e">
        <f ca="1">+SUMCPTF(F69,G69)</f>
        <v>#NAME?</v>
      </c>
      <c r="E69" s="107" t="e">
        <f t="shared" ca="1" si="0"/>
        <v>#NAME?</v>
      </c>
      <c r="F69" s="66">
        <v>42895</v>
      </c>
      <c r="G69" s="66">
        <v>42899</v>
      </c>
      <c r="H69" s="66" t="s">
        <v>14</v>
      </c>
      <c r="N69" s="66" t="e">
        <f t="shared" ca="1" si="1"/>
        <v>#NAME?</v>
      </c>
      <c r="O69" s="66"/>
      <c r="P69" s="66">
        <v>5195</v>
      </c>
      <c r="Q69" s="66">
        <v>5195</v>
      </c>
      <c r="R69" s="66" t="s">
        <v>32</v>
      </c>
    </row>
    <row r="70" spans="3:18" s="7" customFormat="1" x14ac:dyDescent="0.35">
      <c r="C70" s="66" t="s">
        <v>16</v>
      </c>
      <c r="D70" s="66" t="e">
        <f ca="1">SUMCPTFMV(F70,G70,"sc")</f>
        <v>#NAME?</v>
      </c>
      <c r="E70" s="107" t="e">
        <f t="shared" ca="1" si="0"/>
        <v>#NAME?</v>
      </c>
      <c r="F70" s="66">
        <v>430</v>
      </c>
      <c r="G70" s="66">
        <v>4386</v>
      </c>
      <c r="H70" s="66" t="s">
        <v>31</v>
      </c>
      <c r="N70" s="66" t="e">
        <f t="shared" ca="1" si="1"/>
        <v>#NAME?</v>
      </c>
      <c r="O70" s="66"/>
      <c r="P70" s="66">
        <v>5196</v>
      </c>
      <c r="Q70" s="66">
        <v>5196</v>
      </c>
      <c r="R70" s="66" t="s">
        <v>32</v>
      </c>
    </row>
    <row r="71" spans="3:18" s="7" customFormat="1" x14ac:dyDescent="0.35">
      <c r="C71" s="66" t="s">
        <v>16</v>
      </c>
      <c r="D71" s="66" t="e">
        <f ca="1">+SUMCPTF(F71,G71)</f>
        <v>#NAME?</v>
      </c>
      <c r="E71" s="107" t="e">
        <f t="shared" ca="1" si="0"/>
        <v>#NAME?</v>
      </c>
      <c r="F71" s="66">
        <v>43895</v>
      </c>
      <c r="G71" s="66">
        <v>43895</v>
      </c>
      <c r="H71" s="66" t="s">
        <v>14</v>
      </c>
      <c r="N71" s="66" t="e">
        <f t="shared" ca="1" si="1"/>
        <v>#NAME?</v>
      </c>
      <c r="O71" s="66"/>
      <c r="P71" s="66">
        <v>5197</v>
      </c>
      <c r="Q71" s="66">
        <v>5197</v>
      </c>
      <c r="R71" s="66" t="s">
        <v>32</v>
      </c>
    </row>
    <row r="72" spans="3:18" s="7" customFormat="1" x14ac:dyDescent="0.35">
      <c r="C72" s="66" t="s">
        <v>16</v>
      </c>
      <c r="D72" s="66" t="e">
        <f ca="1">SUMCPTFMV(F72,G72,"sc")</f>
        <v>#NAME?</v>
      </c>
      <c r="E72" s="107" t="e">
        <f t="shared" ca="1" si="0"/>
        <v>#NAME?</v>
      </c>
      <c r="F72" s="66">
        <v>439</v>
      </c>
      <c r="G72" s="66">
        <v>439</v>
      </c>
      <c r="H72" s="66" t="s">
        <v>31</v>
      </c>
      <c r="N72" s="66" t="e">
        <f t="shared" ca="1" si="1"/>
        <v>#NAME?</v>
      </c>
      <c r="O72" s="66"/>
      <c r="P72" s="66">
        <v>5198</v>
      </c>
      <c r="Q72" s="66">
        <v>5198</v>
      </c>
      <c r="R72" s="66" t="s">
        <v>32</v>
      </c>
    </row>
    <row r="73" spans="3:18" s="7" customFormat="1" x14ac:dyDescent="0.35">
      <c r="C73" s="66" t="s">
        <v>16</v>
      </c>
      <c r="D73" s="66" t="e">
        <f ca="1">SUMCPTFMV(F73,G73,"sc")</f>
        <v>#NAME?</v>
      </c>
      <c r="E73" s="107" t="e">
        <f t="shared" ca="1" si="0"/>
        <v>#NAME?</v>
      </c>
      <c r="F73" s="66">
        <v>4452</v>
      </c>
      <c r="G73" s="66">
        <v>4452</v>
      </c>
      <c r="H73" s="66" t="s">
        <v>31</v>
      </c>
      <c r="N73" s="66" t="e">
        <f t="shared" ca="1" si="1"/>
        <v>#NAME?</v>
      </c>
      <c r="O73" s="66"/>
      <c r="P73" s="66">
        <v>5199</v>
      </c>
      <c r="Q73" s="66">
        <v>5199</v>
      </c>
      <c r="R73" s="66" t="s">
        <v>32</v>
      </c>
    </row>
    <row r="74" spans="3:18" s="7" customFormat="1" x14ac:dyDescent="0.35">
      <c r="C74" s="66" t="s">
        <v>16</v>
      </c>
      <c r="D74" s="66" t="e">
        <f ca="1">SUMCPTFMV(F74,G74,"sc")</f>
        <v>#NAME?</v>
      </c>
      <c r="E74" s="107" t="e">
        <f t="shared" ca="1" si="0"/>
        <v>#NAME?</v>
      </c>
      <c r="F74" s="66">
        <v>4455</v>
      </c>
      <c r="G74" s="66">
        <v>4455</v>
      </c>
      <c r="H74" s="66" t="s">
        <v>31</v>
      </c>
    </row>
    <row r="75" spans="3:18" s="7" customFormat="1" x14ac:dyDescent="0.35">
      <c r="C75" s="66"/>
      <c r="D75" s="66" t="e">
        <f ca="1">+SUMCPTF(F75,G75)</f>
        <v>#NAME?</v>
      </c>
      <c r="E75" s="107" t="e">
        <f t="shared" ca="1" si="0"/>
        <v>#NAME?</v>
      </c>
      <c r="F75" s="66">
        <v>4457</v>
      </c>
      <c r="G75" s="66">
        <v>4457</v>
      </c>
      <c r="H75" s="66" t="s">
        <v>14</v>
      </c>
    </row>
    <row r="76" spans="3:18" s="7" customFormat="1" x14ac:dyDescent="0.35">
      <c r="C76" s="66" t="s">
        <v>16</v>
      </c>
      <c r="D76" s="66" t="e">
        <f ca="1">SUMCPTFMV(F76,G76,"sc")</f>
        <v>#NAME?</v>
      </c>
      <c r="E76" s="107" t="e">
        <f t="shared" ca="1" si="0"/>
        <v>#NAME?</v>
      </c>
      <c r="F76" s="66">
        <v>4458</v>
      </c>
      <c r="G76" s="66">
        <v>4458</v>
      </c>
      <c r="H76" s="66" t="s">
        <v>31</v>
      </c>
      <c r="N76" s="66"/>
      <c r="O76" s="66"/>
      <c r="P76" s="66"/>
      <c r="Q76" s="66"/>
      <c r="R76" s="66"/>
    </row>
    <row r="77" spans="3:18" s="7" customFormat="1" x14ac:dyDescent="0.35">
      <c r="C77" s="66" t="s">
        <v>16</v>
      </c>
      <c r="D77" s="66" t="e">
        <f ca="1">SUMCPTFMV(F77,G77,"sc")</f>
        <v>#NAME?</v>
      </c>
      <c r="E77" s="107" t="e">
        <f t="shared" ca="1" si="0"/>
        <v>#NAME?</v>
      </c>
      <c r="F77" s="66">
        <v>4454</v>
      </c>
      <c r="G77" s="66">
        <v>4454</v>
      </c>
      <c r="H77" s="66" t="s">
        <v>31</v>
      </c>
    </row>
    <row r="78" spans="3:18" s="7" customFormat="1" x14ac:dyDescent="0.35">
      <c r="C78" s="66" t="s">
        <v>16</v>
      </c>
      <c r="D78" s="66" t="e">
        <f ca="1">+SUMCPTF(F78,G78)</f>
        <v>#NAME?</v>
      </c>
      <c r="E78" s="107" t="e">
        <f t="shared" ca="1" si="0"/>
        <v>#NAME?</v>
      </c>
      <c r="F78" s="66">
        <v>445950</v>
      </c>
      <c r="G78" s="66">
        <v>445950</v>
      </c>
      <c r="H78" s="66" t="s">
        <v>14</v>
      </c>
      <c r="I78" s="66"/>
      <c r="J78" s="66"/>
      <c r="K78" s="66"/>
      <c r="L78" s="66"/>
      <c r="M78" s="66"/>
      <c r="N78" s="66"/>
      <c r="O78" s="66"/>
    </row>
    <row r="79" spans="3:18" s="7" customFormat="1" x14ac:dyDescent="0.35">
      <c r="C79" s="66" t="s">
        <v>16</v>
      </c>
      <c r="D79" s="66" t="e">
        <f ca="1">+SUMCPTF(F79,G79)</f>
        <v>#NAME?</v>
      </c>
      <c r="E79" s="107" t="e">
        <f t="shared" ca="1" si="0"/>
        <v>#NAME?</v>
      </c>
      <c r="F79" s="66">
        <v>4461</v>
      </c>
      <c r="G79" s="66">
        <v>4461</v>
      </c>
      <c r="H79" s="66" t="s">
        <v>14</v>
      </c>
      <c r="I79" s="66"/>
      <c r="J79" s="66"/>
      <c r="K79" s="66"/>
      <c r="L79" s="66"/>
      <c r="M79" s="66"/>
      <c r="N79" s="66"/>
      <c r="O79" s="66"/>
    </row>
    <row r="80" spans="3:18" s="7" customFormat="1" x14ac:dyDescent="0.35">
      <c r="C80" s="66" t="s">
        <v>16</v>
      </c>
      <c r="D80" s="66" t="e">
        <f ca="1">SUMCPTFMV(F80,G80,"sc")</f>
        <v>#NAME?</v>
      </c>
      <c r="E80" s="107" t="e">
        <f t="shared" ca="1" si="0"/>
        <v>#NAME?</v>
      </c>
      <c r="F80" s="66">
        <v>447</v>
      </c>
      <c r="G80" s="66">
        <v>4486</v>
      </c>
      <c r="H80" s="66" t="s">
        <v>31</v>
      </c>
      <c r="I80" s="66"/>
      <c r="J80" s="66"/>
      <c r="K80" s="66"/>
      <c r="L80" s="66"/>
      <c r="M80" s="66"/>
      <c r="N80" s="66"/>
      <c r="O80" s="66"/>
    </row>
    <row r="81" spans="3:20" s="7" customFormat="1" x14ac:dyDescent="0.35">
      <c r="C81" s="108" t="s">
        <v>33</v>
      </c>
      <c r="D81" s="66" t="e">
        <f ca="1">SUMCPTFMV(F81,G81,"sd")</f>
        <v>#NAME?</v>
      </c>
      <c r="E81" s="107" t="e">
        <f t="shared" ca="1" si="0"/>
        <v>#NAME?</v>
      </c>
      <c r="F81" s="108">
        <v>447300</v>
      </c>
      <c r="G81" s="108">
        <v>447300</v>
      </c>
      <c r="H81" s="108" t="s">
        <v>15</v>
      </c>
      <c r="I81" s="66"/>
      <c r="J81" s="66"/>
      <c r="K81" s="66"/>
      <c r="L81" s="66"/>
      <c r="M81" s="66"/>
      <c r="N81" s="66"/>
      <c r="O81" s="66"/>
    </row>
    <row r="82" spans="3:20" s="7" customFormat="1" x14ac:dyDescent="0.35">
      <c r="C82" s="66"/>
      <c r="D82" s="66" t="e">
        <f ca="1">SUMCPTFMV(F82,G82,"sc")</f>
        <v>#NAME?</v>
      </c>
      <c r="E82" s="107" t="e">
        <f t="shared" ca="1" si="0"/>
        <v>#NAME?</v>
      </c>
      <c r="F82" s="66">
        <v>448950</v>
      </c>
      <c r="G82" s="66">
        <v>448950</v>
      </c>
      <c r="H82" s="66" t="s">
        <v>31</v>
      </c>
      <c r="I82" s="66"/>
      <c r="J82" s="66"/>
      <c r="K82" s="66"/>
      <c r="L82" s="66"/>
      <c r="M82" s="66"/>
      <c r="N82" s="66"/>
      <c r="O82" s="66"/>
    </row>
    <row r="83" spans="3:20" s="7" customFormat="1" x14ac:dyDescent="0.35">
      <c r="C83" s="66"/>
      <c r="D83" s="66" t="e">
        <f ca="1">+SUMCPTF(F83,G83)</f>
        <v>#NAME?</v>
      </c>
      <c r="E83" s="107" t="e">
        <f t="shared" ca="1" si="0"/>
        <v>#NAME?</v>
      </c>
      <c r="F83" s="66"/>
      <c r="G83" s="66"/>
      <c r="H83" s="66"/>
      <c r="I83" s="66"/>
      <c r="J83" s="66"/>
      <c r="K83" s="66"/>
      <c r="L83" s="66"/>
      <c r="M83" s="66"/>
      <c r="N83" s="66"/>
      <c r="O83" s="66"/>
    </row>
    <row r="84" spans="3:20" s="7" customFormat="1" x14ac:dyDescent="0.35">
      <c r="C84" s="9"/>
      <c r="D84" s="9"/>
      <c r="E84" s="9"/>
      <c r="F84" s="9"/>
      <c r="G84" s="9"/>
      <c r="H84" s="9"/>
      <c r="I84" s="108"/>
      <c r="J84" s="108"/>
      <c r="K84" s="108"/>
      <c r="L84" s="108"/>
      <c r="M84" s="108"/>
      <c r="N84" s="108"/>
      <c r="O84" s="108"/>
      <c r="P84" s="9"/>
      <c r="Q84" s="9"/>
      <c r="R84" s="9"/>
      <c r="S84" s="9"/>
      <c r="T84" s="9"/>
    </row>
    <row r="85" spans="3:20" s="7" customFormat="1" x14ac:dyDescent="0.35">
      <c r="C85" s="66"/>
      <c r="D85" s="66" t="e">
        <f ca="1">SUM(D63:D83)</f>
        <v>#NAME?</v>
      </c>
      <c r="E85" s="66" t="e">
        <f ca="1">SUM(E63:E83)</f>
        <v>#NAME?</v>
      </c>
      <c r="F85" s="66"/>
      <c r="G85" s="66"/>
      <c r="H85" s="66"/>
      <c r="I85" s="66"/>
      <c r="J85" s="66"/>
      <c r="K85" s="66"/>
      <c r="L85" s="66"/>
      <c r="M85" s="66"/>
      <c r="N85" s="66"/>
      <c r="O85" s="66"/>
    </row>
    <row r="86" spans="3:20" s="9" customFormat="1" x14ac:dyDescent="0.35">
      <c r="C86" s="66"/>
      <c r="D86" s="7"/>
      <c r="E86" s="7"/>
      <c r="F86" s="66"/>
      <c r="G86" s="66"/>
      <c r="H86" s="66"/>
      <c r="I86" s="66"/>
      <c r="J86" s="66"/>
      <c r="K86" s="66"/>
      <c r="L86" s="66"/>
      <c r="M86" s="66"/>
      <c r="N86" s="66"/>
      <c r="O86" s="66"/>
      <c r="P86" s="7"/>
      <c r="Q86" s="7"/>
      <c r="R86" s="7"/>
      <c r="S86" s="7"/>
      <c r="T86" s="7"/>
    </row>
    <row r="87" spans="3:20" s="7" customFormat="1" x14ac:dyDescent="0.35">
      <c r="D87" s="7" t="s">
        <v>34</v>
      </c>
      <c r="I87" s="66"/>
      <c r="J87" s="66"/>
      <c r="K87" s="66"/>
      <c r="L87" s="66"/>
      <c r="M87" s="66"/>
      <c r="N87" s="66"/>
      <c r="O87" s="66"/>
    </row>
    <row r="88" spans="3:20" s="7" customFormat="1" x14ac:dyDescent="0.35">
      <c r="D88" s="66" t="e">
        <f ca="1">SUMCPTFMV(F88,G88,"sc")</f>
        <v>#NAME?</v>
      </c>
      <c r="E88" s="107" t="e">
        <f t="shared" ref="E88:E94" ca="1" si="2">PHASE.SUMCPTFMV("DEC-PREV",F88,G88,H88,0,,,0)</f>
        <v>#NAME?</v>
      </c>
      <c r="F88" s="66">
        <v>410</v>
      </c>
      <c r="G88" s="66">
        <v>4115</v>
      </c>
      <c r="H88" s="66" t="s">
        <v>31</v>
      </c>
      <c r="I88" s="66"/>
      <c r="J88" s="66"/>
      <c r="K88" s="66"/>
      <c r="L88" s="66"/>
      <c r="M88" s="66"/>
      <c r="N88" s="66"/>
      <c r="O88" s="66"/>
    </row>
    <row r="89" spans="3:20" s="7" customFormat="1" x14ac:dyDescent="0.35">
      <c r="C89" s="66"/>
      <c r="D89" s="66" t="e">
        <f ca="1">SUMCPTFMV(F89,G89,"sc")</f>
        <v>#NAME?</v>
      </c>
      <c r="E89" s="107" t="e">
        <f t="shared" ca="1" si="2"/>
        <v>#NAME?</v>
      </c>
      <c r="F89" s="66">
        <v>4117</v>
      </c>
      <c r="G89" s="66">
        <v>411990</v>
      </c>
      <c r="H89" s="66" t="s">
        <v>31</v>
      </c>
      <c r="I89" s="66"/>
      <c r="J89" s="66"/>
      <c r="K89" s="66"/>
      <c r="L89" s="66"/>
      <c r="M89" s="66"/>
      <c r="N89" s="66"/>
      <c r="O89" s="66"/>
    </row>
    <row r="90" spans="3:20" s="7" customFormat="1" x14ac:dyDescent="0.35">
      <c r="C90" s="66"/>
      <c r="D90" s="66" t="e">
        <f ca="1">SUMCPTFMV(F90,G90,"sc")</f>
        <v>#NAME?</v>
      </c>
      <c r="E90" s="107" t="e">
        <f t="shared" ca="1" si="2"/>
        <v>#NAME?</v>
      </c>
      <c r="F90" s="66">
        <v>411992</v>
      </c>
      <c r="G90" s="66">
        <v>418</v>
      </c>
      <c r="H90" s="66" t="s">
        <v>31</v>
      </c>
      <c r="I90" s="66"/>
      <c r="J90" s="66"/>
      <c r="K90" s="66"/>
      <c r="L90" s="66"/>
      <c r="M90" s="66"/>
      <c r="N90" s="66"/>
      <c r="O90" s="66"/>
    </row>
    <row r="91" spans="3:20" s="7" customFormat="1" x14ac:dyDescent="0.35">
      <c r="C91" s="66"/>
      <c r="D91" s="66" t="e">
        <f ca="1">SUMCPTFMV(F91,G91,"sc")</f>
        <v>#NAME?</v>
      </c>
      <c r="E91" s="107" t="e">
        <f t="shared" ca="1" si="2"/>
        <v>#NAME?</v>
      </c>
      <c r="F91" s="108">
        <v>418197</v>
      </c>
      <c r="G91" s="108">
        <v>418198</v>
      </c>
      <c r="H91" s="108" t="s">
        <v>31</v>
      </c>
      <c r="I91" s="108" t="s">
        <v>17</v>
      </c>
      <c r="J91" s="66"/>
      <c r="K91" s="66"/>
      <c r="L91" s="66"/>
      <c r="M91" s="66"/>
      <c r="N91" s="66"/>
      <c r="O91" s="66"/>
    </row>
    <row r="92" spans="3:20" s="7" customFormat="1" x14ac:dyDescent="0.35">
      <c r="C92" s="66"/>
      <c r="D92" s="66" t="e">
        <f ca="1">SUMCPTF(F92,G92)</f>
        <v>#NAME?</v>
      </c>
      <c r="E92" s="107" t="e">
        <f t="shared" ca="1" si="2"/>
        <v>#NAME?</v>
      </c>
      <c r="F92" s="66">
        <v>4196</v>
      </c>
      <c r="G92" s="66">
        <v>4198</v>
      </c>
      <c r="H92" s="66" t="s">
        <v>14</v>
      </c>
      <c r="I92" s="66"/>
      <c r="J92" s="66"/>
      <c r="K92" s="66"/>
      <c r="L92" s="66"/>
      <c r="M92" s="66"/>
      <c r="N92" s="66"/>
      <c r="O92" s="66"/>
    </row>
    <row r="93" spans="3:20" s="7" customFormat="1" x14ac:dyDescent="0.35">
      <c r="C93" s="66"/>
      <c r="D93" s="66" t="e">
        <f ca="1">SUMCPTF(F93,G93)</f>
        <v>#NAME?</v>
      </c>
      <c r="E93" s="107" t="e">
        <f t="shared" ca="1" si="2"/>
        <v>#NAME?</v>
      </c>
      <c r="F93" s="66">
        <v>4199</v>
      </c>
      <c r="G93" s="66">
        <v>4199</v>
      </c>
      <c r="H93" s="66" t="s">
        <v>14</v>
      </c>
      <c r="I93" s="66"/>
      <c r="J93" s="66"/>
      <c r="K93" s="66"/>
      <c r="L93" s="66"/>
      <c r="M93" s="66"/>
      <c r="N93" s="66"/>
      <c r="O93" s="66"/>
    </row>
    <row r="94" spans="3:20" s="7" customFormat="1" x14ac:dyDescent="0.35">
      <c r="C94" s="66"/>
      <c r="D94" s="66" t="e">
        <f ca="1">SUMCPTF(F94,G94)</f>
        <v>#NAME?</v>
      </c>
      <c r="E94" s="107" t="e">
        <f t="shared" ca="1" si="2"/>
        <v>#NAME?</v>
      </c>
      <c r="F94" s="66"/>
      <c r="G94" s="66"/>
      <c r="H94" s="66"/>
      <c r="I94" s="66"/>
      <c r="J94" s="66"/>
      <c r="K94" s="66"/>
      <c r="L94" s="66"/>
      <c r="M94" s="66"/>
      <c r="N94" s="66"/>
      <c r="O94" s="66"/>
    </row>
    <row r="95" spans="3:20" s="7" customFormat="1" x14ac:dyDescent="0.35">
      <c r="C95" s="66"/>
      <c r="D95" s="66"/>
      <c r="E95" s="66"/>
      <c r="F95" s="66"/>
      <c r="G95" s="66"/>
      <c r="H95" s="66"/>
      <c r="I95" s="66"/>
      <c r="J95" s="66"/>
      <c r="K95" s="66"/>
      <c r="L95" s="66"/>
      <c r="M95" s="66"/>
      <c r="N95" s="66"/>
      <c r="O95" s="66"/>
    </row>
    <row r="96" spans="3:20" s="7" customFormat="1" x14ac:dyDescent="0.35">
      <c r="C96" s="66"/>
      <c r="D96" s="66" t="e">
        <f ca="1">SUM(D88:D95)</f>
        <v>#NAME?</v>
      </c>
      <c r="E96" s="66" t="e">
        <f ca="1">SUM(E88:E95)</f>
        <v>#NAME?</v>
      </c>
      <c r="F96" s="66"/>
      <c r="G96" s="66"/>
      <c r="H96" s="66"/>
      <c r="I96" s="66"/>
      <c r="J96" s="66"/>
      <c r="K96" s="66"/>
      <c r="L96" s="66"/>
      <c r="M96" s="66"/>
      <c r="N96" s="66"/>
      <c r="O96" s="66"/>
    </row>
    <row r="97" spans="3:15" s="7" customFormat="1" x14ac:dyDescent="0.35">
      <c r="C97" s="66"/>
      <c r="J97" s="66"/>
      <c r="K97" s="66"/>
      <c r="L97" s="66"/>
      <c r="M97" s="66"/>
      <c r="N97" s="66"/>
      <c r="O97" s="66"/>
    </row>
    <row r="98" spans="3:15" s="7" customFormat="1" x14ac:dyDescent="0.35">
      <c r="C98" s="66"/>
      <c r="J98" s="66"/>
      <c r="K98" s="66"/>
      <c r="L98" s="66"/>
      <c r="M98" s="66"/>
      <c r="N98" s="66"/>
      <c r="O98" s="66"/>
    </row>
    <row r="99" spans="3:15" s="7" customFormat="1" x14ac:dyDescent="0.35">
      <c r="C99" s="66"/>
      <c r="D99" s="7" t="s">
        <v>35</v>
      </c>
      <c r="J99" s="66"/>
      <c r="K99" s="66"/>
      <c r="L99" s="66"/>
      <c r="M99" s="66"/>
      <c r="N99" s="66"/>
      <c r="O99" s="66"/>
    </row>
    <row r="100" spans="3:15" s="7" customFormat="1" x14ac:dyDescent="0.35">
      <c r="C100" s="66"/>
      <c r="D100" s="66" t="e">
        <f ca="1">SUMCPTFMV(F100,G100,"sc")</f>
        <v>#NAME?</v>
      </c>
      <c r="E100" s="107" t="e">
        <f ca="1">PHASE.SUMCPTFMV("DEC-PREV",F100,G100,H100,0,,,0)</f>
        <v>#NAME?</v>
      </c>
      <c r="F100" s="66">
        <v>444</v>
      </c>
      <c r="G100" s="66">
        <v>444</v>
      </c>
      <c r="H100" s="66" t="s">
        <v>31</v>
      </c>
      <c r="I100" s="66"/>
      <c r="J100" s="66"/>
      <c r="K100" s="66"/>
      <c r="L100" s="66"/>
      <c r="M100" s="66"/>
      <c r="N100" s="66"/>
      <c r="O100" s="66"/>
    </row>
    <row r="101" spans="3:15" s="7" customFormat="1" x14ac:dyDescent="0.35">
      <c r="C101" s="66"/>
      <c r="D101" s="66" t="e">
        <f ca="1">SUMCPTFMV(F101,G101,"sc")</f>
        <v>#NAME?</v>
      </c>
      <c r="E101" s="107" t="e">
        <f ca="1">PHASE.SUMCPTFMV("DEC-PREV",F101,G101,H101,0,,,0)</f>
        <v>#NAME?</v>
      </c>
      <c r="F101" s="66"/>
      <c r="G101" s="66"/>
      <c r="H101" s="66"/>
      <c r="I101" s="66"/>
      <c r="J101" s="66"/>
      <c r="K101" s="66"/>
      <c r="L101" s="66"/>
      <c r="M101" s="66"/>
      <c r="N101" s="66"/>
      <c r="O101" s="66"/>
    </row>
    <row r="102" spans="3:15" s="7" customFormat="1" x14ac:dyDescent="0.35">
      <c r="C102" s="66"/>
      <c r="D102" s="66" t="e">
        <f ca="1">SUMCPTFMV(F102,G102,"sc")</f>
        <v>#NAME?</v>
      </c>
      <c r="E102" s="107" t="e">
        <f ca="1">PHASE.SUMCPTFMV("DEC-PREV",F102,G102,H102,0,,,0)</f>
        <v>#NAME?</v>
      </c>
      <c r="F102" s="66"/>
      <c r="G102" s="66"/>
      <c r="H102" s="66"/>
      <c r="I102" s="66"/>
      <c r="J102" s="66"/>
      <c r="K102" s="66"/>
      <c r="L102" s="66"/>
      <c r="M102" s="66"/>
      <c r="N102" s="66"/>
      <c r="O102" s="66"/>
    </row>
    <row r="103" spans="3:15" s="7" customFormat="1" x14ac:dyDescent="0.35">
      <c r="C103" s="66"/>
      <c r="D103" s="66" t="e">
        <f ca="1">SUMCPTFMV(F103,G103,"sc")</f>
        <v>#NAME?</v>
      </c>
      <c r="E103" s="107" t="e">
        <f ca="1">PHASE.SUMCPTFMV("DEC-PREV",F103,G103,H103,0,,,0)</f>
        <v>#NAME?</v>
      </c>
      <c r="F103" s="66"/>
      <c r="G103" s="66"/>
      <c r="H103" s="66"/>
      <c r="I103" s="66"/>
      <c r="J103" s="66"/>
      <c r="K103" s="66"/>
      <c r="L103" s="66"/>
      <c r="M103" s="66"/>
      <c r="N103" s="66"/>
      <c r="O103" s="66"/>
    </row>
    <row r="104" spans="3:15" s="7" customFormat="1" x14ac:dyDescent="0.35">
      <c r="C104" s="66"/>
      <c r="D104" s="66"/>
      <c r="E104" s="66"/>
      <c r="F104" s="66"/>
      <c r="G104" s="66"/>
      <c r="H104" s="66"/>
      <c r="I104" s="66"/>
      <c r="J104" s="66"/>
      <c r="K104" s="66"/>
      <c r="L104" s="66"/>
      <c r="M104" s="66"/>
      <c r="N104" s="66"/>
      <c r="O104" s="66"/>
    </row>
    <row r="105" spans="3:15" s="7" customFormat="1" x14ac:dyDescent="0.35">
      <c r="C105" s="66"/>
      <c r="D105" s="66" t="e">
        <f ca="1">SUM(D100:D104)</f>
        <v>#NAME?</v>
      </c>
      <c r="E105" s="66" t="e">
        <f ca="1">SUM(E100:E104)</f>
        <v>#NAME?</v>
      </c>
      <c r="F105" s="66"/>
      <c r="G105" s="66"/>
      <c r="H105" s="66"/>
      <c r="I105" s="66"/>
      <c r="J105" s="66"/>
      <c r="K105" s="66"/>
      <c r="L105" s="66"/>
      <c r="M105" s="66"/>
      <c r="N105" s="66"/>
      <c r="O105" s="66"/>
    </row>
    <row r="106" spans="3:15" s="7" customFormat="1" x14ac:dyDescent="0.35">
      <c r="C106" s="66"/>
      <c r="I106" s="66"/>
      <c r="J106" s="66"/>
      <c r="K106" s="66"/>
      <c r="L106" s="66"/>
      <c r="M106" s="66"/>
      <c r="N106" s="66"/>
      <c r="O106" s="66"/>
    </row>
    <row r="107" spans="3:15" s="7" customFormat="1" x14ac:dyDescent="0.35">
      <c r="C107" s="66"/>
      <c r="D107" s="7" t="s">
        <v>36</v>
      </c>
      <c r="I107" s="66"/>
      <c r="J107" s="66"/>
      <c r="K107" s="66"/>
      <c r="L107" s="66"/>
      <c r="M107" s="66"/>
      <c r="N107" s="66"/>
      <c r="O107" s="66"/>
    </row>
    <row r="108" spans="3:15" s="7" customFormat="1" x14ac:dyDescent="0.35">
      <c r="C108" s="66"/>
      <c r="D108" s="66" t="e">
        <f ca="1">SUMCPTF(F108,G108)</f>
        <v>#NAME?</v>
      </c>
      <c r="E108" s="66" t="e">
        <f t="shared" ref="E108:E123" ca="1" si="3">PHASE.SUMCPTFMV("DEC-PREV",F108,G108,H110,0,,,0)</f>
        <v>#NAME?</v>
      </c>
      <c r="F108" s="66">
        <v>464</v>
      </c>
      <c r="G108" s="66">
        <v>464</v>
      </c>
      <c r="H108" s="66" t="s">
        <v>14</v>
      </c>
      <c r="I108" s="66"/>
      <c r="J108" s="66"/>
      <c r="K108" s="66"/>
      <c r="L108" s="66"/>
      <c r="M108" s="66"/>
      <c r="N108" s="66"/>
      <c r="O108" s="66"/>
    </row>
    <row r="109" spans="3:15" s="7" customFormat="1" x14ac:dyDescent="0.35">
      <c r="C109" s="66"/>
      <c r="D109" s="66" t="e">
        <f ca="1">SUMCPTF(F109,G109)</f>
        <v>#NAME?</v>
      </c>
      <c r="E109" s="66" t="e">
        <f t="shared" ca="1" si="3"/>
        <v>#NAME?</v>
      </c>
      <c r="F109" s="66">
        <v>509</v>
      </c>
      <c r="G109" s="66">
        <v>509</v>
      </c>
      <c r="H109" s="66" t="s">
        <v>14</v>
      </c>
      <c r="I109" s="66"/>
      <c r="J109" s="66"/>
      <c r="K109" s="66"/>
      <c r="L109" s="66"/>
      <c r="M109" s="66"/>
      <c r="N109" s="66"/>
      <c r="O109" s="66"/>
    </row>
    <row r="110" spans="3:15" s="7" customFormat="1" x14ac:dyDescent="0.35">
      <c r="C110" s="66"/>
      <c r="D110" s="66" t="e">
        <f ca="1">SUMCPTFMV(F110,G110,"sc")</f>
        <v>#NAME?</v>
      </c>
      <c r="E110" s="66" t="e">
        <f t="shared" ca="1" si="3"/>
        <v>#NAME?</v>
      </c>
      <c r="F110" s="66">
        <v>4670</v>
      </c>
      <c r="G110" s="66">
        <v>4685</v>
      </c>
      <c r="H110" s="66" t="s">
        <v>31</v>
      </c>
      <c r="I110" s="66"/>
      <c r="J110" s="66"/>
      <c r="K110" s="66"/>
      <c r="L110" s="66"/>
      <c r="M110" s="66"/>
      <c r="N110" s="66"/>
      <c r="O110" s="66"/>
    </row>
    <row r="111" spans="3:15" s="7" customFormat="1" x14ac:dyDescent="0.35">
      <c r="C111" s="66"/>
      <c r="D111" s="66" t="e">
        <f ca="1">SUMCPTF(F111,G111)</f>
        <v>#NAME?</v>
      </c>
      <c r="E111" s="66" t="e">
        <f t="shared" ca="1" si="3"/>
        <v>#NAME?</v>
      </c>
      <c r="F111" s="66">
        <v>4686</v>
      </c>
      <c r="G111" s="66">
        <v>4686</v>
      </c>
      <c r="H111" s="66" t="s">
        <v>14</v>
      </c>
      <c r="I111" s="66"/>
      <c r="J111" s="66"/>
      <c r="K111" s="66"/>
      <c r="L111" s="66"/>
      <c r="M111" s="66"/>
      <c r="N111" s="66"/>
      <c r="O111" s="66"/>
    </row>
    <row r="112" spans="3:15" s="7" customFormat="1" x14ac:dyDescent="0.35">
      <c r="C112" s="66"/>
      <c r="D112" s="66" t="e">
        <f ca="1">SUMCPTFMV(F112,G112,"sc")</f>
        <v>#NAME?</v>
      </c>
      <c r="E112" s="66" t="e">
        <f t="shared" ca="1" si="3"/>
        <v>#NAME?</v>
      </c>
      <c r="F112" s="66">
        <v>468950</v>
      </c>
      <c r="G112" s="66">
        <v>468950</v>
      </c>
      <c r="H112" s="66" t="s">
        <v>31</v>
      </c>
      <c r="I112" s="66"/>
      <c r="J112" s="66"/>
      <c r="K112" s="66"/>
      <c r="L112" s="66"/>
      <c r="M112" s="66"/>
      <c r="N112" s="66"/>
      <c r="O112" s="66"/>
    </row>
    <row r="113" spans="3:15" s="7" customFormat="1" x14ac:dyDescent="0.35">
      <c r="C113" s="66"/>
      <c r="D113" s="66" t="e">
        <f ca="1">SUMCPTFMV(F113,G113,"sc")</f>
        <v>#NAME?</v>
      </c>
      <c r="E113" s="66" t="e">
        <f t="shared" ca="1" si="3"/>
        <v>#NAME?</v>
      </c>
      <c r="F113" s="66">
        <v>471</v>
      </c>
      <c r="G113" s="66">
        <v>475</v>
      </c>
      <c r="H113" s="66" t="s">
        <v>31</v>
      </c>
      <c r="I113" s="66"/>
      <c r="J113" s="66"/>
      <c r="K113" s="66"/>
      <c r="L113" s="66"/>
      <c r="M113" s="66"/>
      <c r="N113" s="66"/>
      <c r="O113" s="66"/>
    </row>
    <row r="114" spans="3:15" s="7" customFormat="1" x14ac:dyDescent="0.35">
      <c r="C114" s="66"/>
      <c r="D114" s="66" t="e">
        <f ca="1">SUMCPTFMV(F114,G114,"sc")</f>
        <v>#NAME?</v>
      </c>
      <c r="E114" s="66" t="e">
        <f t="shared" ca="1" si="3"/>
        <v>#NAME?</v>
      </c>
      <c r="F114" s="66">
        <v>478</v>
      </c>
      <c r="G114" s="66">
        <v>478</v>
      </c>
      <c r="H114" s="66" t="s">
        <v>31</v>
      </c>
      <c r="I114" s="66"/>
      <c r="J114" s="66"/>
      <c r="K114" s="66"/>
      <c r="L114" s="66"/>
      <c r="M114" s="66"/>
      <c r="N114" s="66"/>
      <c r="O114" s="66"/>
    </row>
    <row r="115" spans="3:15" s="7" customFormat="1" x14ac:dyDescent="0.35">
      <c r="C115" s="66"/>
      <c r="D115" s="66" t="e">
        <f ca="1">SUMCPTF(F115,G115)</f>
        <v>#NAME?</v>
      </c>
      <c r="E115" s="66" t="e">
        <f t="shared" ca="1" si="3"/>
        <v>#NAME?</v>
      </c>
      <c r="F115" s="66">
        <v>18</v>
      </c>
      <c r="G115" s="66">
        <v>18</v>
      </c>
      <c r="H115" s="66" t="s">
        <v>14</v>
      </c>
      <c r="I115" s="66"/>
      <c r="J115" s="66"/>
      <c r="K115" s="66"/>
      <c r="L115" s="66"/>
      <c r="M115" s="66"/>
      <c r="N115" s="66"/>
      <c r="O115" s="66"/>
    </row>
    <row r="116" spans="3:15" s="7" customFormat="1" x14ac:dyDescent="0.35">
      <c r="C116" s="66"/>
      <c r="D116" s="66" t="e">
        <f t="shared" ref="D116:D121" ca="1" si="4">SUMCPTFMV(F116,G116,"sc")</f>
        <v>#NAME?</v>
      </c>
      <c r="E116" s="66" t="e">
        <f t="shared" ca="1" si="3"/>
        <v>#NAME?</v>
      </c>
      <c r="F116" s="66">
        <v>45</v>
      </c>
      <c r="G116" s="66">
        <v>45</v>
      </c>
      <c r="H116" s="66" t="s">
        <v>31</v>
      </c>
      <c r="I116" s="66"/>
      <c r="J116" s="66"/>
      <c r="K116" s="66"/>
      <c r="L116" s="66"/>
      <c r="M116" s="66"/>
      <c r="N116" s="66"/>
      <c r="O116" s="66"/>
    </row>
    <row r="117" spans="3:15" s="7" customFormat="1" x14ac:dyDescent="0.35">
      <c r="C117" s="66"/>
      <c r="D117" s="66" t="e">
        <f t="shared" ca="1" si="4"/>
        <v>#NAME?</v>
      </c>
      <c r="E117" s="66" t="e">
        <f t="shared" ca="1" si="3"/>
        <v>#NAME?</v>
      </c>
      <c r="F117" s="66">
        <v>424</v>
      </c>
      <c r="G117" s="66">
        <v>424</v>
      </c>
      <c r="H117" s="66" t="s">
        <v>31</v>
      </c>
      <c r="I117" s="66"/>
      <c r="J117" s="66"/>
      <c r="K117" s="66"/>
      <c r="L117" s="66"/>
      <c r="M117" s="66"/>
      <c r="N117" s="66"/>
      <c r="O117" s="66"/>
    </row>
    <row r="118" spans="3:15" s="7" customFormat="1" x14ac:dyDescent="0.35">
      <c r="C118" s="66"/>
      <c r="D118" s="66" t="e">
        <f t="shared" ca="1" si="4"/>
        <v>#NAME?</v>
      </c>
      <c r="E118" s="66" t="e">
        <f t="shared" ca="1" si="3"/>
        <v>#NAME?</v>
      </c>
      <c r="F118" s="66">
        <v>428360</v>
      </c>
      <c r="G118" s="66">
        <v>428360</v>
      </c>
      <c r="H118" s="66" t="s">
        <v>31</v>
      </c>
      <c r="I118" s="66"/>
      <c r="J118" s="66"/>
      <c r="K118" s="66"/>
      <c r="L118" s="66"/>
      <c r="M118" s="66"/>
      <c r="N118" s="66"/>
      <c r="O118" s="66"/>
    </row>
    <row r="119" spans="3:15" s="7" customFormat="1" x14ac:dyDescent="0.35">
      <c r="C119" s="66"/>
      <c r="D119" s="66" t="e">
        <f t="shared" ca="1" si="4"/>
        <v>#NAME?</v>
      </c>
      <c r="E119" s="66" t="e">
        <f t="shared" ca="1" si="3"/>
        <v>#NAME?</v>
      </c>
      <c r="F119" s="66">
        <v>428400</v>
      </c>
      <c r="G119" s="66">
        <v>428400</v>
      </c>
      <c r="H119" s="66" t="s">
        <v>31</v>
      </c>
      <c r="I119" s="66" t="s">
        <v>37</v>
      </c>
      <c r="J119" s="66"/>
      <c r="K119" s="66"/>
      <c r="L119" s="66"/>
      <c r="M119" s="66"/>
      <c r="N119" s="66"/>
      <c r="O119" s="66"/>
    </row>
    <row r="120" spans="3:15" s="7" customFormat="1" x14ac:dyDescent="0.35">
      <c r="C120" s="66"/>
      <c r="D120" s="66" t="e">
        <f t="shared" ca="1" si="4"/>
        <v>#NAME?</v>
      </c>
      <c r="E120" s="66" t="e">
        <f t="shared" ca="1" si="3"/>
        <v>#NAME?</v>
      </c>
      <c r="F120" s="66">
        <v>442</v>
      </c>
      <c r="G120" s="66">
        <v>443</v>
      </c>
      <c r="H120" s="66" t="s">
        <v>31</v>
      </c>
      <c r="I120" s="66"/>
      <c r="J120" s="66"/>
      <c r="K120" s="66"/>
      <c r="L120" s="66"/>
      <c r="M120" s="66"/>
      <c r="N120" s="66"/>
      <c r="O120" s="66"/>
    </row>
    <row r="121" spans="3:15" s="7" customFormat="1" x14ac:dyDescent="0.35">
      <c r="C121" s="66"/>
      <c r="D121" s="66" t="e">
        <f t="shared" ca="1" si="4"/>
        <v>#NAME?</v>
      </c>
      <c r="E121" s="66" t="e">
        <f t="shared" ca="1" si="3"/>
        <v>#NAME?</v>
      </c>
      <c r="F121" s="66">
        <v>449</v>
      </c>
      <c r="G121" s="66">
        <v>449</v>
      </c>
      <c r="H121" s="66" t="s">
        <v>31</v>
      </c>
      <c r="I121" s="66"/>
      <c r="J121" s="66"/>
      <c r="K121" s="66"/>
      <c r="L121" s="66"/>
      <c r="M121" s="66"/>
      <c r="N121" s="66"/>
      <c r="O121" s="66"/>
    </row>
    <row r="122" spans="3:15" s="7" customFormat="1" x14ac:dyDescent="0.35">
      <c r="C122" s="66"/>
      <c r="D122" s="66" t="e">
        <f ca="1">SUMCPTF(F122,G122)</f>
        <v>#NAME?</v>
      </c>
      <c r="E122" s="66" t="e">
        <f t="shared" ca="1" si="3"/>
        <v>#NAME?</v>
      </c>
      <c r="F122" s="66">
        <v>520200</v>
      </c>
      <c r="G122" s="66">
        <v>520200</v>
      </c>
      <c r="H122" s="66" t="s">
        <v>14</v>
      </c>
      <c r="I122" s="66"/>
      <c r="J122" s="66"/>
      <c r="K122" s="66"/>
      <c r="L122" s="66"/>
      <c r="M122" s="66"/>
      <c r="N122" s="66"/>
      <c r="O122" s="66"/>
    </row>
    <row r="123" spans="3:15" s="7" customFormat="1" x14ac:dyDescent="0.35">
      <c r="C123" s="66"/>
      <c r="D123" s="66" t="e">
        <f ca="1">SUMCPTFMV(F123,G123,"sc")</f>
        <v>#NAME?</v>
      </c>
      <c r="E123" s="66" t="e">
        <f t="shared" ca="1" si="3"/>
        <v>#NAME?</v>
      </c>
      <c r="F123" s="66"/>
      <c r="G123" s="66"/>
      <c r="H123" s="66"/>
      <c r="I123" s="66"/>
      <c r="J123" s="66"/>
      <c r="K123" s="66"/>
      <c r="L123" s="66"/>
      <c r="M123" s="66"/>
      <c r="N123" s="66"/>
      <c r="O123" s="66"/>
    </row>
    <row r="124" spans="3:15" s="7" customFormat="1" x14ac:dyDescent="0.35">
      <c r="C124" s="66"/>
      <c r="D124" s="66"/>
      <c r="E124" s="66"/>
      <c r="F124" s="66"/>
      <c r="G124" s="66"/>
      <c r="H124" s="66"/>
      <c r="I124" s="66"/>
      <c r="J124" s="66"/>
      <c r="K124" s="66"/>
      <c r="L124" s="66"/>
      <c r="M124" s="66"/>
      <c r="N124" s="66"/>
      <c r="O124" s="66"/>
    </row>
    <row r="125" spans="3:15" s="7" customFormat="1" x14ac:dyDescent="0.35">
      <c r="C125" s="66"/>
      <c r="D125" s="66" t="e">
        <f ca="1">SUM(D108:D124)</f>
        <v>#NAME?</v>
      </c>
      <c r="E125" s="66" t="e">
        <f ca="1">SUM(E108:E124)</f>
        <v>#NAME?</v>
      </c>
      <c r="F125" s="66"/>
      <c r="G125" s="66"/>
      <c r="H125" s="66"/>
      <c r="I125" s="66"/>
      <c r="J125" s="66"/>
      <c r="K125" s="66"/>
      <c r="L125" s="66"/>
      <c r="M125" s="66"/>
      <c r="N125" s="66"/>
      <c r="O125" s="66"/>
    </row>
    <row r="126" spans="3:15" s="7" customFormat="1" x14ac:dyDescent="0.35">
      <c r="C126" s="66"/>
      <c r="D126" s="66"/>
      <c r="E126" s="66"/>
      <c r="F126" s="66"/>
      <c r="G126" s="66"/>
      <c r="H126" s="66"/>
      <c r="I126" s="66"/>
      <c r="J126" s="66"/>
      <c r="K126" s="66"/>
      <c r="L126" s="66"/>
      <c r="M126" s="66"/>
      <c r="N126" s="66"/>
      <c r="O126" s="66"/>
    </row>
    <row r="127" spans="3:15" s="7" customFormat="1" x14ac:dyDescent="0.35">
      <c r="C127" s="66"/>
      <c r="J127" s="66"/>
      <c r="K127" s="66"/>
      <c r="L127" s="66"/>
      <c r="M127" s="66"/>
      <c r="N127" s="66"/>
      <c r="O127" s="66"/>
    </row>
    <row r="128" spans="3:15" s="7" customFormat="1" x14ac:dyDescent="0.35">
      <c r="C128" s="66"/>
      <c r="J128" s="66"/>
      <c r="K128" s="66"/>
      <c r="L128" s="66"/>
      <c r="M128" s="66"/>
      <c r="N128" s="66"/>
      <c r="O128" s="66"/>
    </row>
    <row r="129" spans="3:20" s="7" customFormat="1" x14ac:dyDescent="0.35">
      <c r="C129" s="66"/>
      <c r="J129" s="66"/>
      <c r="K129" s="66"/>
      <c r="L129" s="66"/>
      <c r="M129" s="66"/>
      <c r="N129" s="66"/>
      <c r="O129" s="66"/>
    </row>
    <row r="130" spans="3:20" s="7" customFormat="1" x14ac:dyDescent="0.35">
      <c r="C130" s="66"/>
      <c r="D130" s="66"/>
      <c r="E130" s="66"/>
      <c r="F130" s="66"/>
      <c r="G130" s="66"/>
      <c r="H130" s="66"/>
      <c r="I130" s="66"/>
      <c r="J130" s="66"/>
      <c r="K130" s="66"/>
      <c r="L130" s="66"/>
      <c r="M130" s="66"/>
      <c r="N130" s="66"/>
      <c r="O130" s="66"/>
    </row>
    <row r="131" spans="3:20" s="7" customFormat="1" x14ac:dyDescent="0.35">
      <c r="C131" s="66"/>
      <c r="D131" s="66"/>
      <c r="E131" s="66"/>
      <c r="F131" s="66"/>
      <c r="G131" s="66"/>
      <c r="H131" s="66"/>
      <c r="I131" s="66"/>
      <c r="J131" s="66"/>
      <c r="K131" s="66"/>
      <c r="L131" s="66"/>
      <c r="M131" s="66"/>
      <c r="N131" s="66"/>
      <c r="O131" s="66"/>
    </row>
    <row r="132" spans="3:20" s="7" customFormat="1" x14ac:dyDescent="0.35">
      <c r="C132" s="66"/>
      <c r="D132" s="66"/>
      <c r="E132" s="66"/>
      <c r="F132" s="66"/>
      <c r="G132" s="66"/>
      <c r="H132" s="66"/>
      <c r="I132" s="66"/>
      <c r="J132" s="66"/>
      <c r="K132" s="66"/>
      <c r="L132" s="66"/>
      <c r="M132" s="66"/>
      <c r="N132" s="66"/>
      <c r="O132" s="66"/>
    </row>
    <row r="133" spans="3:20" s="7" customFormat="1" x14ac:dyDescent="0.35">
      <c r="C133" s="66"/>
      <c r="D133" s="66"/>
      <c r="E133" s="66"/>
      <c r="F133" s="66"/>
      <c r="G133" s="66"/>
      <c r="H133" s="66"/>
      <c r="I133" s="66"/>
      <c r="J133" s="66"/>
      <c r="K133" s="66"/>
      <c r="L133" s="66"/>
      <c r="M133" s="66"/>
      <c r="N133" s="66"/>
      <c r="O133" s="66"/>
    </row>
    <row r="134" spans="3:20" s="7" customFormat="1" x14ac:dyDescent="0.35">
      <c r="C134" s="66"/>
      <c r="D134" s="66"/>
      <c r="E134" s="66"/>
      <c r="F134" s="66"/>
      <c r="G134" s="66"/>
      <c r="H134" s="66"/>
      <c r="I134" s="66"/>
      <c r="J134" s="66"/>
      <c r="K134" s="66"/>
      <c r="L134" s="66"/>
      <c r="M134" s="66"/>
      <c r="N134" s="66"/>
      <c r="O134" s="66"/>
    </row>
    <row r="135" spans="3:20" s="7" customFormat="1" x14ac:dyDescent="0.35">
      <c r="C135" s="66"/>
      <c r="D135" s="66"/>
      <c r="E135" s="66"/>
      <c r="F135" s="66"/>
      <c r="G135" s="66"/>
      <c r="H135" s="66"/>
      <c r="I135" s="66"/>
      <c r="J135" s="66"/>
      <c r="K135" s="66"/>
      <c r="L135" s="66"/>
      <c r="M135" s="66"/>
      <c r="N135" s="66"/>
      <c r="O135" s="66"/>
    </row>
    <row r="136" spans="3:20" s="7" customFormat="1" x14ac:dyDescent="0.35">
      <c r="C136" s="66"/>
      <c r="D136" s="66"/>
      <c r="E136" s="66"/>
      <c r="F136" s="66"/>
      <c r="G136" s="66"/>
      <c r="H136" s="66"/>
      <c r="I136" s="66"/>
      <c r="J136" s="66"/>
      <c r="K136" s="66"/>
      <c r="L136" s="66"/>
      <c r="M136" s="66"/>
      <c r="N136" s="66"/>
      <c r="O136" s="66"/>
    </row>
    <row r="137" spans="3:20" s="7" customFormat="1" x14ac:dyDescent="0.35">
      <c r="C137" s="66"/>
      <c r="D137" s="66"/>
      <c r="E137" s="66"/>
      <c r="F137" s="66"/>
      <c r="G137" s="66"/>
      <c r="H137" s="66"/>
      <c r="I137" s="66"/>
      <c r="J137" s="66"/>
      <c r="K137" s="66"/>
      <c r="L137" s="66"/>
      <c r="M137" s="66"/>
      <c r="N137" s="66"/>
      <c r="O137" s="66"/>
    </row>
    <row r="138" spans="3:20" s="7" customFormat="1" x14ac:dyDescent="0.35">
      <c r="C138" s="66"/>
      <c r="D138" s="66"/>
      <c r="E138" s="66"/>
      <c r="F138" s="66"/>
      <c r="G138" s="66"/>
      <c r="H138" s="66"/>
      <c r="I138" s="66"/>
      <c r="J138" s="66"/>
      <c r="K138" s="66"/>
      <c r="L138" s="66"/>
      <c r="M138" s="66"/>
      <c r="N138" s="66"/>
      <c r="O138" s="66"/>
    </row>
    <row r="139" spans="3:20" s="7" customFormat="1" x14ac:dyDescent="0.35">
      <c r="C139" s="66"/>
      <c r="D139" s="66"/>
      <c r="E139" s="66"/>
      <c r="F139" s="66"/>
      <c r="G139" s="66"/>
      <c r="H139" s="66"/>
      <c r="I139" s="66"/>
      <c r="J139" s="66"/>
      <c r="K139" s="66"/>
      <c r="L139" s="66"/>
      <c r="M139" s="66"/>
      <c r="N139" s="66"/>
      <c r="O139" s="66"/>
    </row>
    <row r="140" spans="3:20" s="7" customFormat="1" x14ac:dyDescent="0.35">
      <c r="C140" s="66"/>
      <c r="D140" s="66"/>
      <c r="E140" s="66"/>
      <c r="F140" s="66"/>
      <c r="G140" s="66"/>
      <c r="H140" s="66"/>
      <c r="I140" s="66"/>
      <c r="J140" s="66"/>
      <c r="K140" s="66"/>
      <c r="L140" s="66"/>
      <c r="M140" s="66"/>
      <c r="N140" s="66"/>
      <c r="O140" s="66"/>
    </row>
    <row r="141" spans="3:20" s="7" customFormat="1" x14ac:dyDescent="0.35">
      <c r="C141" s="66"/>
      <c r="D141" s="66"/>
      <c r="E141" s="66"/>
      <c r="F141" s="66"/>
      <c r="G141" s="66"/>
      <c r="H141" s="66"/>
      <c r="I141" s="66"/>
      <c r="J141" s="66"/>
      <c r="K141" s="66"/>
      <c r="L141" s="66"/>
      <c r="M141" s="66"/>
      <c r="N141" s="66"/>
      <c r="O141" s="66"/>
    </row>
    <row r="142" spans="3:20" s="7" customFormat="1" x14ac:dyDescent="0.35">
      <c r="C142" s="66"/>
      <c r="D142" s="66"/>
      <c r="E142" s="66"/>
      <c r="F142" s="66"/>
      <c r="G142" s="66"/>
      <c r="H142" s="66"/>
      <c r="I142" s="66"/>
      <c r="J142" s="66"/>
      <c r="K142" s="66"/>
      <c r="L142" s="66"/>
      <c r="M142" s="66"/>
      <c r="N142" s="66"/>
      <c r="O142" s="66"/>
    </row>
    <row r="143" spans="3:20" s="7" customFormat="1" x14ac:dyDescent="0.35">
      <c r="C143" s="63"/>
      <c r="F143" s="63"/>
      <c r="G143" s="63"/>
      <c r="H143" s="63"/>
      <c r="I143" s="63"/>
      <c r="J143" s="63"/>
      <c r="K143" s="63"/>
      <c r="L143" s="63"/>
      <c r="M143" s="63"/>
      <c r="N143" s="63"/>
      <c r="O143" s="63"/>
      <c r="P143" s="63"/>
      <c r="Q143" s="63"/>
      <c r="R143" s="63"/>
      <c r="S143" s="8"/>
      <c r="T143" s="8"/>
    </row>
    <row r="144" spans="3:20" s="7" customFormat="1" x14ac:dyDescent="0.35">
      <c r="D144" s="64"/>
      <c r="E144" s="67"/>
      <c r="F144" s="66"/>
    </row>
  </sheetData>
  <mergeCells count="1">
    <mergeCell ref="A7:C7"/>
  </mergeCells>
  <pageMargins left="0.70138889999999998" right="0.70138889999999998" top="0.74861109999999997" bottom="0.74861109999999997" header="0.2993056" footer="0.2993056"/>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132"/>
  <sheetViews>
    <sheetView workbookViewId="0">
      <selection activeCell="A11" sqref="A11"/>
    </sheetView>
  </sheetViews>
  <sheetFormatPr baseColWidth="10" defaultColWidth="14.6328125" defaultRowHeight="14" x14ac:dyDescent="0.3"/>
  <cols>
    <col min="1" max="1" width="76.6328125" style="109" customWidth="1"/>
    <col min="2" max="2" width="13.90625" style="109" customWidth="1"/>
    <col min="3" max="3" width="16.6328125" style="109" customWidth="1"/>
    <col min="4" max="5" width="16.6328125" style="110" customWidth="1"/>
    <col min="6" max="6" width="15.26953125" style="110" customWidth="1"/>
    <col min="7" max="17" width="10.6328125" style="109" customWidth="1"/>
    <col min="18" max="18" width="10.90625" style="109" customWidth="1"/>
    <col min="19" max="21" width="10.6328125" style="109" customWidth="1"/>
    <col min="22" max="16384" width="14.6328125" style="109"/>
  </cols>
  <sheetData>
    <row r="1" spans="1:6" s="10" customFormat="1" ht="16.5" x14ac:dyDescent="0.35">
      <c r="A1" s="111" t="e">
        <f ca="1">SOCINFO("ldesc")</f>
        <v>#NAME?</v>
      </c>
      <c r="D1" s="112"/>
      <c r="E1" s="112"/>
      <c r="F1" s="112"/>
    </row>
    <row r="2" spans="1:6" s="10" customFormat="1" ht="16.5" x14ac:dyDescent="0.35">
      <c r="A2" s="113" t="e" cm="1">
        <f t="array" aca="1" ref="A2" ca="1">+"Income statement as at "&amp;DATECLOT()</f>
        <v>#NAME?</v>
      </c>
      <c r="B2" s="113"/>
      <c r="C2" s="113"/>
      <c r="D2" s="114"/>
      <c r="E2" s="114"/>
      <c r="F2" s="112"/>
    </row>
    <row r="3" spans="1:6" s="10" customFormat="1" ht="16.5" x14ac:dyDescent="0.35">
      <c r="A3" s="113"/>
      <c r="B3" s="113"/>
      <c r="C3" s="113"/>
      <c r="D3" s="114"/>
      <c r="E3" s="114"/>
      <c r="F3" s="112"/>
    </row>
    <row r="4" spans="1:6" s="10" customFormat="1" ht="16.5" x14ac:dyDescent="0.35">
      <c r="A4" s="113"/>
      <c r="B4" s="113"/>
      <c r="C4" s="113"/>
      <c r="D4" s="114"/>
      <c r="E4" s="114"/>
      <c r="F4" s="112"/>
    </row>
    <row r="5" spans="1:6" s="10" customFormat="1" ht="16.5" x14ac:dyDescent="0.35">
      <c r="A5" s="115"/>
      <c r="B5" s="115"/>
      <c r="C5" s="115"/>
      <c r="D5" s="116"/>
      <c r="E5" s="116"/>
      <c r="F5" s="112"/>
    </row>
    <row r="6" spans="1:6" s="10" customFormat="1" ht="14.5" x14ac:dyDescent="0.35">
      <c r="D6" s="117"/>
      <c r="E6" s="117"/>
      <c r="F6" s="112"/>
    </row>
    <row r="7" spans="1:6" s="10" customFormat="1" ht="13.75" customHeight="1" x14ac:dyDescent="0.35">
      <c r="A7" s="109"/>
      <c r="B7" s="118" t="s">
        <v>38</v>
      </c>
      <c r="C7" s="119" t="s">
        <v>250</v>
      </c>
      <c r="D7" s="119" t="e">
        <f ca="1">DATECLOT()</f>
        <v>#NAME?</v>
      </c>
      <c r="E7" s="120" t="e">
        <f ca="1">DATECLOTPREV()</f>
        <v>#NAME?</v>
      </c>
      <c r="F7" s="120" t="e">
        <f ca="1">PHASE.DATECLOT("DEC-PREV")</f>
        <v>#NAME?</v>
      </c>
    </row>
    <row r="8" spans="1:6" s="10" customFormat="1" ht="14.5" x14ac:dyDescent="0.35">
      <c r="A8" s="109"/>
      <c r="B8" s="121"/>
      <c r="C8" s="121"/>
      <c r="D8" s="121"/>
      <c r="E8" s="121"/>
      <c r="F8" s="112"/>
    </row>
    <row r="9" spans="1:6" s="10" customFormat="1" ht="14.5" x14ac:dyDescent="0.35">
      <c r="A9" s="122"/>
      <c r="B9" s="123"/>
      <c r="C9" s="123"/>
      <c r="D9" s="124"/>
      <c r="E9" s="124"/>
      <c r="F9" s="112"/>
    </row>
    <row r="10" spans="1:6" s="10" customFormat="1" ht="14.5" x14ac:dyDescent="0.35">
      <c r="A10" s="122"/>
      <c r="B10" s="123"/>
      <c r="C10" s="123"/>
      <c r="D10" s="124"/>
      <c r="E10" s="124"/>
      <c r="F10" s="112"/>
    </row>
    <row r="11" spans="1:6" s="10" customFormat="1" ht="14.5" x14ac:dyDescent="0.35">
      <c r="A11" s="306" t="s">
        <v>251</v>
      </c>
      <c r="B11" s="125" t="e">
        <f ca="1">FISCA("2052_FA")</f>
        <v>#NAME?</v>
      </c>
      <c r="C11" s="125" t="e">
        <f ca="1">FISCA("2052_FB")</f>
        <v>#NAME?</v>
      </c>
      <c r="D11" s="126" t="e">
        <f ca="1">FISCA("2052_FC")</f>
        <v>#NAME?</v>
      </c>
      <c r="E11" s="126" t="e">
        <f ca="1">FISCA("2052_FCN1")</f>
        <v>#NAME?</v>
      </c>
      <c r="F11" s="126" t="e">
        <f ca="1">PHASE.FISCA("DEC-PREV","2052_FC")</f>
        <v>#NAME?</v>
      </c>
    </row>
    <row r="12" spans="1:6" s="10" customFormat="1" ht="14.5" x14ac:dyDescent="0.35">
      <c r="A12" s="306" t="s">
        <v>252</v>
      </c>
      <c r="B12" s="125" t="e">
        <f ca="1">FISCA("2052_FD")</f>
        <v>#NAME?</v>
      </c>
      <c r="C12" s="125" t="e">
        <f ca="1">FISCA("2052_FE")</f>
        <v>#NAME?</v>
      </c>
      <c r="D12" s="126" t="e">
        <f ca="1">FISCA("2052_FF")</f>
        <v>#NAME?</v>
      </c>
      <c r="E12" s="126" t="e">
        <f ca="1">FISCA("2052_FFN1")</f>
        <v>#NAME?</v>
      </c>
      <c r="F12" s="126" t="e">
        <f ca="1">PHASE.FISCA("DEC-PREV","2052_FF")</f>
        <v>#NAME?</v>
      </c>
    </row>
    <row r="13" spans="1:6" s="10" customFormat="1" ht="14.5" x14ac:dyDescent="0.35">
      <c r="A13" s="306" t="s">
        <v>253</v>
      </c>
      <c r="B13" s="125" t="e">
        <f ca="1">FISCA("2052_FG")</f>
        <v>#NAME?</v>
      </c>
      <c r="C13" s="125" t="e">
        <f ca="1">FISCA("2052_FH")</f>
        <v>#NAME?</v>
      </c>
      <c r="D13" s="126" t="e">
        <f ca="1">FISCA("2052_FI")</f>
        <v>#NAME?</v>
      </c>
      <c r="E13" s="126" t="e">
        <f ca="1">FISCA("2052_FIN1")</f>
        <v>#NAME?</v>
      </c>
      <c r="F13" s="126" t="e">
        <f ca="1">PHASE.FISCA("DEC-PREV","2052_FI")</f>
        <v>#NAME?</v>
      </c>
    </row>
    <row r="14" spans="1:6" s="10" customFormat="1" ht="5.15" customHeight="1" x14ac:dyDescent="0.35">
      <c r="A14" s="308"/>
      <c r="B14" s="125"/>
      <c r="C14" s="125"/>
      <c r="D14" s="126"/>
      <c r="E14" s="126"/>
      <c r="F14" s="112"/>
    </row>
    <row r="15" spans="1:6" s="10" customFormat="1" ht="14.5" x14ac:dyDescent="0.35">
      <c r="A15" s="297" t="s">
        <v>254</v>
      </c>
      <c r="B15" s="127" t="e">
        <f ca="1">SUM(B11:B13)</f>
        <v>#NAME?</v>
      </c>
      <c r="C15" s="127" t="e">
        <f ca="1">SUM(C11:C13)</f>
        <v>#NAME?</v>
      </c>
      <c r="D15" s="128" t="e">
        <f ca="1">SUM(D11:D13)</f>
        <v>#NAME?</v>
      </c>
      <c r="E15" s="128" t="e">
        <f ca="1">SUM(E11:E13)</f>
        <v>#NAME?</v>
      </c>
      <c r="F15" s="128" t="e">
        <f ca="1">SUM(F11:F13)</f>
        <v>#NAME?</v>
      </c>
    </row>
    <row r="16" spans="1:6" s="10" customFormat="1" ht="5.15" customHeight="1" x14ac:dyDescent="0.35">
      <c r="A16" s="309"/>
      <c r="B16" s="129"/>
      <c r="C16" s="129"/>
      <c r="D16" s="128"/>
      <c r="E16" s="128"/>
      <c r="F16" s="112"/>
    </row>
    <row r="17" spans="1:23" s="10" customFormat="1" ht="14.5" x14ac:dyDescent="0.35">
      <c r="A17" s="130"/>
      <c r="B17" s="130"/>
      <c r="C17" s="130"/>
      <c r="D17" s="126" t="e">
        <f ca="1">FISCA("2052_FM")</f>
        <v>#NAME?</v>
      </c>
      <c r="E17" s="126" t="e">
        <f ca="1">FISCA("2052_FMN1")</f>
        <v>#NAME?</v>
      </c>
      <c r="F17" s="126" t="e">
        <f ca="1">PHASE.FISCA("DEC-PREV","2052_FM")</f>
        <v>#NAME?</v>
      </c>
    </row>
    <row r="18" spans="1:23" s="10" customFormat="1" ht="14.5" x14ac:dyDescent="0.35">
      <c r="A18" s="296" t="s">
        <v>255</v>
      </c>
      <c r="B18" s="130"/>
      <c r="C18" s="130"/>
      <c r="D18" s="126" t="e">
        <f ca="1">FISCA("2052_FN")</f>
        <v>#NAME?</v>
      </c>
      <c r="E18" s="126" t="e">
        <f ca="1">FISCA("2052_FNN1")</f>
        <v>#NAME?</v>
      </c>
      <c r="F18" s="126" t="e">
        <f ca="1">PHASE.FISCA("DEC-PREV","2052_FN")</f>
        <v>#NAME?</v>
      </c>
    </row>
    <row r="19" spans="1:23" s="10" customFormat="1" ht="14.5" x14ac:dyDescent="0.35">
      <c r="A19" s="296" t="s">
        <v>256</v>
      </c>
      <c r="B19" s="130"/>
      <c r="C19" s="130"/>
      <c r="D19" s="126" t="e">
        <f ca="1">FISCA("2052_FO")</f>
        <v>#NAME?</v>
      </c>
      <c r="E19" s="126" t="e">
        <f ca="1">FISCA("2052_FON1")</f>
        <v>#NAME?</v>
      </c>
      <c r="F19" s="126" t="e">
        <f ca="1">PHASE.FISCA("DEC-PREV","2052_FO")</f>
        <v>#NAME?</v>
      </c>
    </row>
    <row r="20" spans="1:23" s="10" customFormat="1" ht="14.5" x14ac:dyDescent="0.35">
      <c r="A20" s="296" t="s">
        <v>257</v>
      </c>
      <c r="B20" s="130"/>
      <c r="C20" s="130"/>
      <c r="D20" s="126" t="e">
        <f ca="1">FISCA("2052_FP")-D21</f>
        <v>#NAME?</v>
      </c>
      <c r="E20" s="126" t="e">
        <f ca="1">FISCA("2052_FPN1")-E21</f>
        <v>#NAME?</v>
      </c>
      <c r="F20" s="126" t="e">
        <f ca="1">PHASE.FISCA("DEC-PREV","2052_FP")-F21</f>
        <v>#NAME?</v>
      </c>
      <c r="Q20" s="10" t="e">
        <f ca="1">DATECLOT(0,1)</f>
        <v>#NAME?</v>
      </c>
      <c r="R20" s="131" t="e">
        <f ca="1">DATECLOTPREV()</f>
        <v>#NAME?</v>
      </c>
      <c r="S20" s="131" t="e">
        <f ca="1">PHASE.DATECLOT("REELLE")</f>
        <v>#NAME?</v>
      </c>
      <c r="T20" s="131" t="e">
        <f ca="1">PHASE.DATECLOT("DEC-PREV")</f>
        <v>#NAME?</v>
      </c>
    </row>
    <row r="21" spans="1:23" s="10" customFormat="1" ht="14.5" x14ac:dyDescent="0.35">
      <c r="A21" s="296" t="s">
        <v>258</v>
      </c>
      <c r="B21" s="130"/>
      <c r="C21" s="130"/>
      <c r="D21" s="132" t="e">
        <f ca="1">Q21</f>
        <v>#NAME?</v>
      </c>
      <c r="E21" s="132" t="e">
        <f ca="1">R21</f>
        <v>#NAME?</v>
      </c>
      <c r="F21" s="112" t="e">
        <f ca="1">T21</f>
        <v>#NAME?</v>
      </c>
      <c r="Q21" s="133" t="e">
        <f ca="1">+SUMCPTF(U21,V21)</f>
        <v>#NAME?</v>
      </c>
      <c r="R21" s="134" t="e">
        <f ca="1">SUMCPTF(U21,V21,-1)</f>
        <v>#NAME?</v>
      </c>
      <c r="S21" s="10" t="e">
        <f ca="1">-PHASE.SUMCPTFMV("REELLE",U21,V21,W21,0,,,0)</f>
        <v>#NAME?</v>
      </c>
      <c r="T21" s="10" t="e">
        <f ca="1">-PHASE.SUMCPTFMV("DEC-PREV",U21,V21,W21,0,,,0)</f>
        <v>#NAME?</v>
      </c>
      <c r="U21" s="135">
        <v>791</v>
      </c>
      <c r="V21" s="135">
        <v>791</v>
      </c>
      <c r="W21" s="135" t="s">
        <v>14</v>
      </c>
    </row>
    <row r="22" spans="1:23" s="10" customFormat="1" ht="14.5" x14ac:dyDescent="0.35">
      <c r="A22" s="296" t="s">
        <v>259</v>
      </c>
      <c r="B22" s="130"/>
      <c r="C22" s="130"/>
      <c r="D22" s="126" t="e">
        <f ca="1">FISCA("2052_FQ")</f>
        <v>#NAME?</v>
      </c>
      <c r="E22" s="126" t="e">
        <f ca="1">FISCA("2052_FQN1")</f>
        <v>#NAME?</v>
      </c>
      <c r="F22" s="126" t="e">
        <f ca="1">PHASE.FISCA("DEC-PREV","2052_FQ")</f>
        <v>#NAME?</v>
      </c>
    </row>
    <row r="23" spans="1:23" s="10" customFormat="1" ht="5.15" customHeight="1" x14ac:dyDescent="0.35">
      <c r="A23" s="130"/>
      <c r="B23" s="130"/>
      <c r="C23" s="130"/>
      <c r="D23" s="126"/>
      <c r="E23" s="126"/>
      <c r="F23" s="112"/>
    </row>
    <row r="24" spans="1:23" s="10" customFormat="1" ht="14.5" x14ac:dyDescent="0.35">
      <c r="A24" s="304" t="s">
        <v>260</v>
      </c>
      <c r="B24" s="136"/>
      <c r="C24" s="136"/>
      <c r="D24" s="137" t="e">
        <f ca="1">SUM(D15:D22)</f>
        <v>#NAME?</v>
      </c>
      <c r="E24" s="137" t="e">
        <f ca="1">SUM(E15:E22)</f>
        <v>#NAME?</v>
      </c>
      <c r="F24" s="137" t="e">
        <f ca="1">SUM(F15:F22)</f>
        <v>#NAME?</v>
      </c>
    </row>
    <row r="25" spans="1:23" s="10" customFormat="1" ht="5.15" customHeight="1" x14ac:dyDescent="0.35">
      <c r="A25" s="138"/>
      <c r="B25" s="138"/>
      <c r="C25" s="138"/>
      <c r="D25" s="128"/>
      <c r="E25" s="128"/>
      <c r="F25" s="112"/>
    </row>
    <row r="26" spans="1:23" s="10" customFormat="1" ht="14.5" x14ac:dyDescent="0.35">
      <c r="A26" s="296" t="s">
        <v>261</v>
      </c>
      <c r="B26" s="130"/>
      <c r="C26" s="130"/>
      <c r="D26" s="126" t="e">
        <f ca="1">FISCA("2052_FS")</f>
        <v>#NAME?</v>
      </c>
      <c r="E26" s="126" t="e">
        <f ca="1">FISCA("2052_FSN1")</f>
        <v>#NAME?</v>
      </c>
      <c r="F26" s="126" t="e">
        <f ca="1">PHASE.FISCA("DEC-PREV","2052_FS")</f>
        <v>#NAME?</v>
      </c>
    </row>
    <row r="27" spans="1:23" s="10" customFormat="1" ht="14.5" x14ac:dyDescent="0.35">
      <c r="A27" s="296" t="s">
        <v>262</v>
      </c>
      <c r="B27" s="130"/>
      <c r="C27" s="130"/>
      <c r="D27" s="126" t="e">
        <f ca="1">FISCA("2052_FT")</f>
        <v>#NAME?</v>
      </c>
      <c r="E27" s="126" t="e">
        <f ca="1">FISCA("2052_FTN1")</f>
        <v>#NAME?</v>
      </c>
      <c r="F27" s="126" t="e">
        <f ca="1">PHASE.FISCA("DEC-PREV","2052_FT")</f>
        <v>#NAME?</v>
      </c>
    </row>
    <row r="28" spans="1:23" s="10" customFormat="1" ht="14.5" x14ac:dyDescent="0.35">
      <c r="A28" s="296" t="s">
        <v>263</v>
      </c>
      <c r="B28" s="130"/>
      <c r="C28" s="130"/>
      <c r="D28" s="126" t="e">
        <f ca="1">FISCA("2052_FU")</f>
        <v>#NAME?</v>
      </c>
      <c r="E28" s="126" t="e">
        <f ca="1">FISCA("2052_FUN1")</f>
        <v>#NAME?</v>
      </c>
      <c r="F28" s="126" t="e">
        <f ca="1">PHASE.FISCA("DEC-PREV","2052_FU")</f>
        <v>#NAME?</v>
      </c>
    </row>
    <row r="29" spans="1:23" s="10" customFormat="1" ht="14.5" x14ac:dyDescent="0.35">
      <c r="A29" s="296" t="s">
        <v>262</v>
      </c>
      <c r="B29" s="130"/>
      <c r="C29" s="130"/>
      <c r="D29" s="126" t="e">
        <f ca="1">FISCA("2052_FV")</f>
        <v>#NAME?</v>
      </c>
      <c r="E29" s="126" t="e">
        <f ca="1">FISCA("2052_FVN1")</f>
        <v>#NAME?</v>
      </c>
      <c r="F29" s="126" t="e">
        <f ca="1">PHASE.FISCA("DEC-PREV","2052_FV")</f>
        <v>#NAME?</v>
      </c>
    </row>
    <row r="30" spans="1:23" s="10" customFormat="1" ht="14.5" x14ac:dyDescent="0.35">
      <c r="A30" s="296" t="s">
        <v>264</v>
      </c>
      <c r="B30" s="130"/>
      <c r="C30" s="130"/>
      <c r="D30" s="126" t="e">
        <f ca="1">FISCA("2052_FW")</f>
        <v>#NAME?</v>
      </c>
      <c r="E30" s="126" t="e">
        <f ca="1">FISCA("2052_FWN1")</f>
        <v>#NAME?</v>
      </c>
      <c r="F30" s="126" t="e">
        <f ca="1">PHASE.FISCA("DEC-PREV","2052_FW")</f>
        <v>#NAME?</v>
      </c>
    </row>
    <row r="31" spans="1:23" s="10" customFormat="1" ht="14.5" x14ac:dyDescent="0.35">
      <c r="A31" s="305" t="s">
        <v>265</v>
      </c>
      <c r="B31" s="139"/>
      <c r="C31" s="139"/>
      <c r="D31" s="140" t="e">
        <f ca="1">SUM(D26:D30)</f>
        <v>#NAME?</v>
      </c>
      <c r="E31" s="140" t="e">
        <f ca="1">SUM(E26:E30)</f>
        <v>#NAME?</v>
      </c>
      <c r="F31" s="140" t="e">
        <f ca="1">SUM(F26:F30)</f>
        <v>#NAME?</v>
      </c>
    </row>
    <row r="32" spans="1:23" s="10" customFormat="1" ht="14.5" x14ac:dyDescent="0.35">
      <c r="A32" s="296" t="s">
        <v>266</v>
      </c>
      <c r="B32" s="130"/>
      <c r="C32" s="130"/>
      <c r="D32" s="126" t="e">
        <f ca="1">FISCA("2052_FX")-D33</f>
        <v>#NAME?</v>
      </c>
      <c r="E32" s="126" t="e">
        <f ca="1">FISCA("2052_FXN1")-E33</f>
        <v>#NAME?</v>
      </c>
      <c r="F32" s="126" t="e">
        <f ca="1">PHASE.FISCA("DEC-PREV","2052_FX")-F33</f>
        <v>#NAME?</v>
      </c>
    </row>
    <row r="33" spans="1:23" s="10" customFormat="1" ht="14.5" x14ac:dyDescent="0.35">
      <c r="A33" s="296" t="s">
        <v>267</v>
      </c>
      <c r="B33" s="130"/>
      <c r="C33" s="130"/>
      <c r="D33" s="126" t="e">
        <f ca="1">Q33</f>
        <v>#NAME?</v>
      </c>
      <c r="E33" s="126" t="e">
        <f ca="1">R33</f>
        <v>#NAME?</v>
      </c>
      <c r="F33" s="112" t="e">
        <f ca="1">+T33</f>
        <v>#NAME?</v>
      </c>
      <c r="P33" s="109" t="s">
        <v>16</v>
      </c>
      <c r="Q33" s="133" t="e">
        <f ca="1">+SUMCPTF(U33,V33)</f>
        <v>#NAME?</v>
      </c>
      <c r="R33" s="134" t="e">
        <f ca="1">SUMCPTF(U33,V33,-1)</f>
        <v>#NAME?</v>
      </c>
      <c r="S33" s="10" t="e">
        <f ca="1">PHASE.SUMCPTFMV("REELLE",U33,V33,W33,0,,,0)</f>
        <v>#NAME?</v>
      </c>
      <c r="T33" s="10" t="e">
        <f ca="1">PHASE.SUMCPTFMV("DEC-PREV",U33,V33,W33,0,,,0)</f>
        <v>#NAME?</v>
      </c>
      <c r="U33" s="109">
        <v>635</v>
      </c>
      <c r="V33" s="109">
        <v>639</v>
      </c>
      <c r="W33" s="109" t="s">
        <v>14</v>
      </c>
    </row>
    <row r="34" spans="1:23" s="10" customFormat="1" ht="14.5" x14ac:dyDescent="0.35">
      <c r="A34" s="305" t="s">
        <v>268</v>
      </c>
      <c r="B34" s="139"/>
      <c r="C34" s="139"/>
      <c r="D34" s="140" t="e">
        <f ca="1">SUM(D32:D33)</f>
        <v>#NAME?</v>
      </c>
      <c r="E34" s="140" t="e">
        <f ca="1">SUM(E32:E33)</f>
        <v>#NAME?</v>
      </c>
      <c r="F34" s="140" t="e">
        <f ca="1">SUM(F32:F33)</f>
        <v>#NAME?</v>
      </c>
    </row>
    <row r="35" spans="1:23" s="10" customFormat="1" ht="14.5" x14ac:dyDescent="0.35">
      <c r="A35" s="296" t="s">
        <v>269</v>
      </c>
      <c r="B35" s="130"/>
      <c r="C35" s="130"/>
      <c r="D35" s="126" t="e">
        <f ca="1">FISCA("2052_FY")</f>
        <v>#NAME?</v>
      </c>
      <c r="E35" s="126" t="e">
        <f ca="1">FISCA("2052_FYN1")</f>
        <v>#NAME?</v>
      </c>
      <c r="F35" s="112" t="e">
        <f ca="1">PHASE.FISCA("DEC-PREV","2052_FY")</f>
        <v>#NAME?</v>
      </c>
    </row>
    <row r="36" spans="1:23" s="10" customFormat="1" ht="14.5" x14ac:dyDescent="0.35">
      <c r="A36" s="296" t="s">
        <v>270</v>
      </c>
      <c r="B36" s="130"/>
      <c r="C36" s="130"/>
      <c r="D36" s="126" t="e">
        <f ca="1">FISCA("2052_FZ")</f>
        <v>#NAME?</v>
      </c>
      <c r="E36" s="126" t="e">
        <f ca="1">FISCA("2052_FZN1")</f>
        <v>#NAME?</v>
      </c>
      <c r="F36" s="112" t="e">
        <f ca="1">PHASE.FISCA("DEC-PREV","2052_FZ")</f>
        <v>#NAME?</v>
      </c>
    </row>
    <row r="37" spans="1:23" s="10" customFormat="1" ht="14.5" x14ac:dyDescent="0.35">
      <c r="A37" s="305" t="s">
        <v>271</v>
      </c>
      <c r="B37" s="139"/>
      <c r="C37" s="139"/>
      <c r="D37" s="140" t="e">
        <f ca="1">SUM(D35:D36)</f>
        <v>#NAME?</v>
      </c>
      <c r="E37" s="140" t="e">
        <f ca="1">SUM(E35:E36)</f>
        <v>#NAME?</v>
      </c>
      <c r="F37" s="140" t="e">
        <f ca="1">SUM(F35:F36)</f>
        <v>#NAME?</v>
      </c>
    </row>
    <row r="38" spans="1:23" s="10" customFormat="1" ht="14.5" x14ac:dyDescent="0.35">
      <c r="A38" s="296" t="s">
        <v>272</v>
      </c>
      <c r="B38" s="130"/>
      <c r="C38" s="130"/>
      <c r="D38" s="126" t="e">
        <f ca="1">FISCA("2052_GA")</f>
        <v>#NAME?</v>
      </c>
      <c r="E38" s="126" t="e">
        <f ca="1">FISCA("2052_GAN1")</f>
        <v>#NAME?</v>
      </c>
      <c r="F38" s="112" t="e">
        <f ca="1">PHASE.FISCA("DEC-PREV","2052_GA")</f>
        <v>#NAME?</v>
      </c>
    </row>
    <row r="39" spans="1:23" s="10" customFormat="1" ht="14.5" x14ac:dyDescent="0.35">
      <c r="A39" s="296" t="s">
        <v>273</v>
      </c>
      <c r="B39" s="130"/>
      <c r="C39" s="130"/>
      <c r="D39" s="126" t="e">
        <f ca="1">FISCA("2052_GB")</f>
        <v>#NAME?</v>
      </c>
      <c r="E39" s="126" t="e">
        <f ca="1">FISCA("2052_GBN1")</f>
        <v>#NAME?</v>
      </c>
      <c r="F39" s="112" t="e">
        <f ca="1">PHASE.FISCA("DEC-PREV","2052_GB")</f>
        <v>#NAME?</v>
      </c>
    </row>
    <row r="40" spans="1:23" s="10" customFormat="1" ht="14.5" x14ac:dyDescent="0.35">
      <c r="A40" s="296" t="s">
        <v>274</v>
      </c>
      <c r="B40" s="130"/>
      <c r="C40" s="130"/>
      <c r="D40" s="126" t="e">
        <f ca="1">FISCA("2052_GC")</f>
        <v>#NAME?</v>
      </c>
      <c r="E40" s="126" t="e">
        <f ca="1">FISCA("2052_GCN1")</f>
        <v>#NAME?</v>
      </c>
      <c r="F40" s="112" t="e">
        <f ca="1">PHASE.FISCA("DEC-PREV","2052_GC")</f>
        <v>#NAME?</v>
      </c>
    </row>
    <row r="41" spans="1:23" s="10" customFormat="1" ht="14.5" x14ac:dyDescent="0.35">
      <c r="A41" s="296" t="s">
        <v>275</v>
      </c>
      <c r="B41" s="130"/>
      <c r="C41" s="130"/>
      <c r="D41" s="126" t="e">
        <f ca="1">FISCA("2052_GD")</f>
        <v>#NAME?</v>
      </c>
      <c r="E41" s="126" t="e">
        <f ca="1">FISCA("2052_GDN1")</f>
        <v>#NAME?</v>
      </c>
      <c r="F41" s="112" t="e">
        <f ca="1">PHASE.FISCA("DEC-PREV","2052_GD")</f>
        <v>#NAME?</v>
      </c>
    </row>
    <row r="42" spans="1:23" s="10" customFormat="1" ht="14.5" x14ac:dyDescent="0.35">
      <c r="A42" s="305" t="s">
        <v>209</v>
      </c>
      <c r="B42" s="139"/>
      <c r="C42" s="139"/>
      <c r="D42" s="140" t="e">
        <f ca="1">SUM(D38:D41)</f>
        <v>#NAME?</v>
      </c>
      <c r="E42" s="140" t="e">
        <f ca="1">SUM(E38:E41)</f>
        <v>#NAME?</v>
      </c>
      <c r="F42" s="140" t="e">
        <f ca="1">SUM(F38:F41)</f>
        <v>#NAME?</v>
      </c>
    </row>
    <row r="43" spans="1:23" s="10" customFormat="1" ht="14.5" x14ac:dyDescent="0.35">
      <c r="A43" s="296" t="s">
        <v>276</v>
      </c>
      <c r="B43" s="130"/>
      <c r="C43" s="130"/>
      <c r="D43" s="126" t="e">
        <f ca="1">FISCA("2052_GE")</f>
        <v>#NAME?</v>
      </c>
      <c r="E43" s="126" t="e">
        <f ca="1">FISCA("2052_GEN1")</f>
        <v>#NAME?</v>
      </c>
      <c r="F43" s="112" t="e">
        <f ca="1">PHASE.FISCA("DEC-PREV","2052_GE")</f>
        <v>#NAME?</v>
      </c>
    </row>
    <row r="44" spans="1:23" s="10" customFormat="1" ht="5.15" customHeight="1" x14ac:dyDescent="0.35">
      <c r="A44" s="310"/>
      <c r="B44" s="130"/>
      <c r="C44" s="130"/>
      <c r="D44" s="126"/>
      <c r="E44" s="126"/>
      <c r="F44" s="112"/>
    </row>
    <row r="45" spans="1:23" s="10" customFormat="1" ht="14.5" x14ac:dyDescent="0.35">
      <c r="A45" s="304" t="s">
        <v>277</v>
      </c>
      <c r="B45" s="136"/>
      <c r="C45" s="136"/>
      <c r="D45" s="137" t="e">
        <f ca="1">+D31+D34+D37+D42+D43</f>
        <v>#NAME?</v>
      </c>
      <c r="E45" s="137" t="e">
        <f ca="1">+E31+E34+E37+E42+E43</f>
        <v>#NAME?</v>
      </c>
      <c r="F45" s="137" t="e">
        <f ca="1">+F31+F34+F37+F42+F43</f>
        <v>#NAME?</v>
      </c>
    </row>
    <row r="46" spans="1:23" s="10" customFormat="1" ht="14.5" x14ac:dyDescent="0.35">
      <c r="A46" s="310"/>
      <c r="B46" s="138"/>
      <c r="C46" s="138"/>
      <c r="D46" s="128"/>
      <c r="E46" s="128"/>
      <c r="F46" s="112"/>
    </row>
    <row r="47" spans="1:23" s="10" customFormat="1" ht="14.5" x14ac:dyDescent="0.35">
      <c r="A47" s="297" t="s">
        <v>278</v>
      </c>
      <c r="B47" s="141"/>
      <c r="C47" s="141"/>
      <c r="D47" s="142" t="e">
        <f ca="1">FISCA("2052_GH")</f>
        <v>#NAME?</v>
      </c>
      <c r="E47" s="142" t="e">
        <f ca="1">FISCA("2052_GHN1")</f>
        <v>#NAME?</v>
      </c>
      <c r="F47" s="112" t="e">
        <f ca="1">PHASE.FISCA("DEC-PREV","2052_GH")</f>
        <v>#NAME?</v>
      </c>
    </row>
    <row r="48" spans="1:23" s="10" customFormat="1" ht="14.5" x14ac:dyDescent="0.35">
      <c r="A48" s="297" t="s">
        <v>279</v>
      </c>
      <c r="B48" s="141"/>
      <c r="C48" s="141"/>
      <c r="D48" s="142" t="e">
        <f ca="1">FISCA("2052_GI")</f>
        <v>#NAME?</v>
      </c>
      <c r="E48" s="142" t="e">
        <f ca="1">FISCA("2052_GIN1")</f>
        <v>#NAME?</v>
      </c>
      <c r="F48" s="112" t="e">
        <f ca="1">PHASE.FISCA("DEC-PREV","2052_GI")</f>
        <v>#NAME?</v>
      </c>
    </row>
    <row r="49" spans="1:6" s="10" customFormat="1" ht="14.5" x14ac:dyDescent="0.35">
      <c r="A49" s="310"/>
      <c r="B49" s="130"/>
      <c r="C49" s="130"/>
      <c r="D49" s="126"/>
      <c r="E49" s="126"/>
      <c r="F49" s="112"/>
    </row>
    <row r="50" spans="1:6" s="10" customFormat="1" ht="14.5" x14ac:dyDescent="0.35">
      <c r="A50" s="304" t="s">
        <v>280</v>
      </c>
      <c r="B50" s="143"/>
      <c r="C50" s="143"/>
      <c r="D50" s="144" t="e">
        <f ca="1">+D24-D45+D47-D48</f>
        <v>#NAME?</v>
      </c>
      <c r="E50" s="144" t="e">
        <f ca="1">+E24-E45+E47-E48</f>
        <v>#NAME?</v>
      </c>
      <c r="F50" s="144" t="e">
        <f ca="1">+F24-F45+F47-F48</f>
        <v>#NAME?</v>
      </c>
    </row>
    <row r="51" spans="1:6" s="10" customFormat="1" ht="5.15" customHeight="1" x14ac:dyDescent="0.35">
      <c r="A51" s="124"/>
      <c r="B51" s="124"/>
      <c r="C51" s="124"/>
      <c r="D51" s="124"/>
      <c r="E51" s="124"/>
      <c r="F51" s="112"/>
    </row>
    <row r="52" spans="1:6" s="10" customFormat="1" ht="14.5" x14ac:dyDescent="0.35">
      <c r="A52" s="124"/>
      <c r="B52" s="124"/>
      <c r="C52" s="124"/>
      <c r="D52" s="145" t="e">
        <f ca="1">+D7</f>
        <v>#NAME?</v>
      </c>
      <c r="E52" s="146" t="e">
        <f ca="1">+E7</f>
        <v>#NAME?</v>
      </c>
      <c r="F52" s="146" t="e">
        <f ca="1">+F7</f>
        <v>#NAME?</v>
      </c>
    </row>
    <row r="53" spans="1:6" s="10" customFormat="1" ht="14.5" x14ac:dyDescent="0.35">
      <c r="A53" s="124"/>
      <c r="B53" s="124"/>
      <c r="C53" s="124"/>
      <c r="D53" s="121"/>
      <c r="E53" s="121"/>
      <c r="F53" s="112"/>
    </row>
    <row r="54" spans="1:6" s="10" customFormat="1" ht="14.5" hidden="1" x14ac:dyDescent="0.35">
      <c r="A54" s="124"/>
      <c r="B54" s="124"/>
      <c r="C54" s="147"/>
      <c r="D54" s="148" t="e">
        <f ca="1">DATECLOT()</f>
        <v>#NAME?</v>
      </c>
      <c r="E54" s="148" t="e">
        <f ca="1">DATECLOTPREV()</f>
        <v>#NAME?</v>
      </c>
      <c r="F54" s="112"/>
    </row>
    <row r="55" spans="1:6" s="10" customFormat="1" ht="14.5" hidden="1" x14ac:dyDescent="0.35">
      <c r="A55" s="124"/>
      <c r="B55" s="124"/>
      <c r="C55" s="124"/>
      <c r="D55" s="121"/>
      <c r="E55" s="121"/>
      <c r="F55" s="112"/>
    </row>
    <row r="56" spans="1:6" s="10" customFormat="1" ht="14.5" x14ac:dyDescent="0.35">
      <c r="A56" s="296" t="s">
        <v>281</v>
      </c>
      <c r="B56" s="130"/>
      <c r="C56" s="130"/>
      <c r="D56" s="126" t="e">
        <f ca="1">FISCA("2052_GJ")</f>
        <v>#NAME?</v>
      </c>
      <c r="E56" s="126" t="e">
        <f ca="1">FISCA("2052_GJN1")</f>
        <v>#NAME?</v>
      </c>
      <c r="F56" s="112" t="e">
        <f ca="1">PHASE.FISCA("DEC-PREV","2052_GJ")</f>
        <v>#NAME?</v>
      </c>
    </row>
    <row r="57" spans="1:6" s="10" customFormat="1" ht="14.5" x14ac:dyDescent="0.35">
      <c r="A57" s="296" t="s">
        <v>282</v>
      </c>
      <c r="B57" s="130"/>
      <c r="C57" s="130"/>
      <c r="D57" s="126" t="e">
        <f ca="1">FISCA("2052_GK")</f>
        <v>#NAME?</v>
      </c>
      <c r="E57" s="126" t="e">
        <f ca="1">FISCA("2052_GKN1")</f>
        <v>#NAME?</v>
      </c>
      <c r="F57" s="112" t="e">
        <f ca="1">PHASE.FISCA("DEC-PREV","2052_GK")</f>
        <v>#NAME?</v>
      </c>
    </row>
    <row r="58" spans="1:6" s="10" customFormat="1" ht="14.5" x14ac:dyDescent="0.35">
      <c r="A58" s="296" t="s">
        <v>283</v>
      </c>
      <c r="B58" s="130"/>
      <c r="C58" s="130"/>
      <c r="D58" s="126" t="e">
        <f ca="1">FISCA("2052_GL")</f>
        <v>#NAME?</v>
      </c>
      <c r="E58" s="126" t="e">
        <f ca="1">FISCA("2052_GLN1")</f>
        <v>#NAME?</v>
      </c>
      <c r="F58" s="112" t="e">
        <f ca="1">PHASE.FISCA("DEC-PREV","2052_GL")</f>
        <v>#NAME?</v>
      </c>
    </row>
    <row r="59" spans="1:6" s="10" customFormat="1" ht="14.5" x14ac:dyDescent="0.35">
      <c r="A59" s="296" t="s">
        <v>284</v>
      </c>
      <c r="B59" s="130"/>
      <c r="C59" s="130"/>
      <c r="D59" s="126" t="e">
        <f ca="1">FISCA("2052_GM")</f>
        <v>#NAME?</v>
      </c>
      <c r="E59" s="126" t="e">
        <f ca="1">FISCA("2052_GMN1")</f>
        <v>#NAME?</v>
      </c>
      <c r="F59" s="112" t="e">
        <f ca="1">PHASE.FISCA("DEC-PREV","2052_GM")</f>
        <v>#NAME?</v>
      </c>
    </row>
    <row r="60" spans="1:6" s="10" customFormat="1" ht="14.5" x14ac:dyDescent="0.35">
      <c r="A60" s="296" t="s">
        <v>285</v>
      </c>
      <c r="B60" s="130"/>
      <c r="C60" s="130"/>
      <c r="D60" s="126" t="e">
        <f ca="1">FISCA("2052_GN")</f>
        <v>#NAME?</v>
      </c>
      <c r="E60" s="126" t="e">
        <f ca="1">FISCA("2052_GNN1")</f>
        <v>#NAME?</v>
      </c>
      <c r="F60" s="112" t="e">
        <f ca="1">PHASE.FISCA("DEC-PREV","2052_GN")</f>
        <v>#NAME?</v>
      </c>
    </row>
    <row r="61" spans="1:6" s="10" customFormat="1" ht="14.5" x14ac:dyDescent="0.35">
      <c r="A61" s="296" t="s">
        <v>286</v>
      </c>
      <c r="B61" s="130"/>
      <c r="C61" s="130"/>
      <c r="D61" s="126" t="e">
        <f ca="1">FISCA("2052_GO")</f>
        <v>#NAME?</v>
      </c>
      <c r="E61" s="126" t="e">
        <f ca="1">FISCA("2052_GON1")</f>
        <v>#NAME?</v>
      </c>
      <c r="F61" s="112" t="e">
        <f ca="1">PHASE.FISCA("DEC-PREV","2052_GO")</f>
        <v>#NAME?</v>
      </c>
    </row>
    <row r="62" spans="1:6" s="10" customFormat="1" ht="14.5" x14ac:dyDescent="0.35">
      <c r="A62" s="297" t="s">
        <v>287</v>
      </c>
      <c r="B62" s="138"/>
      <c r="C62" s="138"/>
      <c r="D62" s="128" t="e">
        <f ca="1">SUM(D56:D61)</f>
        <v>#NAME?</v>
      </c>
      <c r="E62" s="128" t="e">
        <f ca="1">SUM(E56:E61)</f>
        <v>#NAME?</v>
      </c>
      <c r="F62" s="128" t="e">
        <f ca="1">SUM(F56:F61)</f>
        <v>#NAME?</v>
      </c>
    </row>
    <row r="63" spans="1:6" s="10" customFormat="1" ht="14.5" x14ac:dyDescent="0.35">
      <c r="A63" s="296" t="s">
        <v>288</v>
      </c>
      <c r="B63" s="130"/>
      <c r="C63" s="130"/>
      <c r="D63" s="126" t="e">
        <f ca="1">FISCA("2052_GQ")</f>
        <v>#NAME?</v>
      </c>
      <c r="E63" s="126" t="e">
        <f ca="1">FISCA("2052_GQN1")</f>
        <v>#NAME?</v>
      </c>
      <c r="F63" s="112" t="e">
        <f ca="1">PHASE.FISCA("DEC-PREV","2052_GQ")</f>
        <v>#NAME?</v>
      </c>
    </row>
    <row r="64" spans="1:6" s="10" customFormat="1" ht="14.5" x14ac:dyDescent="0.35">
      <c r="A64" s="296" t="s">
        <v>289</v>
      </c>
      <c r="B64" s="130"/>
      <c r="C64" s="130"/>
      <c r="D64" s="126" t="e">
        <f ca="1">FISCA("2052_GR")-D67</f>
        <v>#NAME?</v>
      </c>
      <c r="E64" s="126" t="e">
        <f ca="1">FISCA("2052_GRN1")-E67</f>
        <v>#NAME?</v>
      </c>
      <c r="F64" s="112" t="e">
        <f ca="1">PHASE.FISCA("DEC-PREV","2052_GR")-F67</f>
        <v>#NAME?</v>
      </c>
    </row>
    <row r="65" spans="1:23" s="10" customFormat="1" ht="14.5" x14ac:dyDescent="0.35">
      <c r="A65" s="296" t="s">
        <v>290</v>
      </c>
      <c r="B65" s="130"/>
      <c r="C65" s="130"/>
      <c r="D65" s="126" t="e">
        <f ca="1">FISCA("2052_GS")</f>
        <v>#NAME?</v>
      </c>
      <c r="E65" s="126" t="e">
        <f ca="1">FISCA("2052_GSN1")</f>
        <v>#NAME?</v>
      </c>
      <c r="F65" s="112" t="e">
        <f ca="1">PHASE.FISCA("DEC-PREV","2052_GS")</f>
        <v>#NAME?</v>
      </c>
    </row>
    <row r="66" spans="1:23" s="10" customFormat="1" ht="14.5" x14ac:dyDescent="0.35">
      <c r="A66" s="296" t="s">
        <v>291</v>
      </c>
      <c r="B66" s="130"/>
      <c r="C66" s="130"/>
      <c r="D66" s="126" t="e">
        <f ca="1">FISCA("2052_GT")</f>
        <v>#NAME?</v>
      </c>
      <c r="E66" s="126" t="e">
        <f ca="1">FISCA("2052_GTN1")</f>
        <v>#NAME?</v>
      </c>
      <c r="F66" s="112" t="e">
        <f ca="1">PHASE.FISCA("DEC-PREV","2052_GT")</f>
        <v>#NAME?</v>
      </c>
    </row>
    <row r="67" spans="1:23" s="10" customFormat="1" ht="14.5" x14ac:dyDescent="0.35">
      <c r="A67" s="296" t="s">
        <v>292</v>
      </c>
      <c r="B67" s="130"/>
      <c r="C67" s="130"/>
      <c r="D67" s="126" t="e">
        <f ca="1">Q67</f>
        <v>#NAME?</v>
      </c>
      <c r="E67" s="126" t="e">
        <f ca="1">R67</f>
        <v>#NAME?</v>
      </c>
      <c r="F67" s="112" t="e">
        <f ca="1">+T67</f>
        <v>#NAME?</v>
      </c>
      <c r="Q67" s="133" t="e">
        <f ca="1">+SUMCPTF(U67,V67)</f>
        <v>#NAME?</v>
      </c>
      <c r="R67" s="134" t="e">
        <f ca="1">SUMCPTF(U67,V67,-1)</f>
        <v>#NAME?</v>
      </c>
      <c r="S67" s="10" t="e">
        <f ca="1">PHASE.SUMCPTFMV("REELLE",U67,V67,W67,0,,,0)</f>
        <v>#NAME?</v>
      </c>
      <c r="T67" s="10" t="e">
        <f ca="1">PHASE.SUMCPTFMV("DEC-PREV",U67,V67,W67,0,,,0)</f>
        <v>#NAME?</v>
      </c>
      <c r="U67" s="149">
        <v>796</v>
      </c>
      <c r="V67" s="149">
        <v>796</v>
      </c>
      <c r="W67" s="149" t="s">
        <v>14</v>
      </c>
    </row>
    <row r="68" spans="1:23" s="10" customFormat="1" ht="14.5" x14ac:dyDescent="0.35">
      <c r="A68" s="297" t="s">
        <v>293</v>
      </c>
      <c r="B68" s="138"/>
      <c r="C68" s="138"/>
      <c r="D68" s="128" t="e">
        <f ca="1">SUM(D63:D67)</f>
        <v>#NAME?</v>
      </c>
      <c r="E68" s="128" t="e">
        <f ca="1">SUM(E63:E67)</f>
        <v>#NAME?</v>
      </c>
      <c r="F68" s="128" t="e">
        <f ca="1">SUM(F63:F67)</f>
        <v>#NAME?</v>
      </c>
    </row>
    <row r="69" spans="1:23" s="10" customFormat="1" ht="14.5" x14ac:dyDescent="0.35">
      <c r="A69" s="310"/>
      <c r="B69" s="138"/>
      <c r="C69" s="138"/>
      <c r="D69" s="128"/>
      <c r="E69" s="128"/>
      <c r="F69" s="112"/>
    </row>
    <row r="70" spans="1:23" s="10" customFormat="1" ht="14.5" x14ac:dyDescent="0.35">
      <c r="A70" s="304" t="s">
        <v>294</v>
      </c>
      <c r="B70" s="143"/>
      <c r="C70" s="143"/>
      <c r="D70" s="144" t="e">
        <f ca="1">D62-D68</f>
        <v>#NAME?</v>
      </c>
      <c r="E70" s="144" t="e">
        <f ca="1">E62-E68</f>
        <v>#NAME?</v>
      </c>
      <c r="F70" s="144" t="e">
        <f ca="1">F62-F68</f>
        <v>#NAME?</v>
      </c>
    </row>
    <row r="71" spans="1:23" s="10" customFormat="1" ht="14.5" x14ac:dyDescent="0.35">
      <c r="A71" s="310"/>
      <c r="B71" s="150"/>
      <c r="C71" s="150"/>
      <c r="D71" s="151"/>
      <c r="E71" s="151"/>
      <c r="F71" s="112"/>
    </row>
    <row r="72" spans="1:23" s="10" customFormat="1" ht="14.5" x14ac:dyDescent="0.35">
      <c r="A72" s="304" t="s">
        <v>295</v>
      </c>
      <c r="B72" s="143"/>
      <c r="C72" s="143"/>
      <c r="D72" s="144" t="e">
        <f ca="1">+D50+D70</f>
        <v>#NAME?</v>
      </c>
      <c r="E72" s="144" t="e">
        <f ca="1">+E50+E70</f>
        <v>#NAME?</v>
      </c>
      <c r="F72" s="144" t="e">
        <f ca="1">+F50+F70</f>
        <v>#NAME?</v>
      </c>
    </row>
    <row r="73" spans="1:23" s="10" customFormat="1" ht="14.5" x14ac:dyDescent="0.35">
      <c r="A73" s="310"/>
      <c r="B73" s="152"/>
      <c r="C73" s="152"/>
      <c r="D73" s="153"/>
      <c r="E73" s="153"/>
      <c r="F73" s="112"/>
    </row>
    <row r="74" spans="1:23" s="10" customFormat="1" ht="14.5" x14ac:dyDescent="0.35">
      <c r="A74" s="296" t="s">
        <v>296</v>
      </c>
      <c r="B74" s="130"/>
      <c r="C74" s="130"/>
      <c r="D74" s="126" t="e">
        <f ca="1">FISCA("2053_HA")</f>
        <v>#NAME?</v>
      </c>
      <c r="E74" s="126" t="e">
        <f ca="1">FISCA("2053_HAN1")</f>
        <v>#NAME?</v>
      </c>
      <c r="F74" s="112" t="e">
        <f ca="1">PHASE.FISCA("DEC-PREV","2053_HA")</f>
        <v>#NAME?</v>
      </c>
    </row>
    <row r="75" spans="1:23" s="10" customFormat="1" ht="14.5" x14ac:dyDescent="0.35">
      <c r="A75" s="296" t="s">
        <v>297</v>
      </c>
      <c r="B75" s="130"/>
      <c r="C75" s="130"/>
      <c r="D75" s="126" t="e">
        <f ca="1">FISCA("2053_HB")</f>
        <v>#NAME?</v>
      </c>
      <c r="E75" s="126" t="e">
        <f ca="1">FISCA("2053_HBN1")</f>
        <v>#NAME?</v>
      </c>
      <c r="F75" s="112" t="e">
        <f ca="1">PHASE.FISCA("DEC-PREV","2053_HB")</f>
        <v>#NAME?</v>
      </c>
    </row>
    <row r="76" spans="1:23" s="10" customFormat="1" ht="14.5" x14ac:dyDescent="0.35">
      <c r="A76" s="296" t="s">
        <v>284</v>
      </c>
      <c r="B76" s="130"/>
      <c r="C76" s="130"/>
      <c r="D76" s="126" t="e">
        <f ca="1">FISCA("2053_HC")</f>
        <v>#NAME?</v>
      </c>
      <c r="E76" s="126" t="e">
        <f ca="1">FISCA("2053_HCN1")</f>
        <v>#NAME?</v>
      </c>
      <c r="F76" s="112" t="e">
        <f ca="1">PHASE.FISCA("DEC-PREV","2053_HC")</f>
        <v>#NAME?</v>
      </c>
    </row>
    <row r="77" spans="1:23" s="10" customFormat="1" ht="14.5" x14ac:dyDescent="0.35">
      <c r="A77" s="297" t="s">
        <v>298</v>
      </c>
      <c r="B77" s="138"/>
      <c r="C77" s="138"/>
      <c r="D77" s="128" t="e">
        <f ca="1">SUM(D74:D76)</f>
        <v>#NAME?</v>
      </c>
      <c r="E77" s="128" t="e">
        <f ca="1">SUM(E74:E76)</f>
        <v>#NAME?</v>
      </c>
      <c r="F77" s="128" t="e">
        <f ca="1">SUM(F74:F76)</f>
        <v>#NAME?</v>
      </c>
    </row>
    <row r="78" spans="1:23" s="10" customFormat="1" ht="14.5" x14ac:dyDescent="0.35">
      <c r="A78" s="296" t="s">
        <v>299</v>
      </c>
      <c r="B78" s="130"/>
      <c r="C78" s="130"/>
      <c r="D78" s="126" t="e">
        <f ca="1">FISCA("2053_HE")</f>
        <v>#NAME?</v>
      </c>
      <c r="E78" s="126" t="e">
        <f ca="1">FISCA("2053_HEN1")</f>
        <v>#NAME?</v>
      </c>
      <c r="F78" s="112" t="e">
        <f ca="1">PHASE.FISCA("DEC-PREV","2053_HE")</f>
        <v>#NAME?</v>
      </c>
    </row>
    <row r="79" spans="1:23" s="10" customFormat="1" ht="14.5" x14ac:dyDescent="0.35">
      <c r="A79" s="296" t="s">
        <v>300</v>
      </c>
      <c r="B79" s="130"/>
      <c r="C79" s="130"/>
      <c r="D79" s="126" t="e">
        <f ca="1">FISCA("2053_HF")</f>
        <v>#NAME?</v>
      </c>
      <c r="E79" s="126" t="e">
        <f ca="1">FISCA("2053_HFN1")</f>
        <v>#NAME?</v>
      </c>
      <c r="F79" s="112" t="e">
        <f ca="1">PHASE.FISCA("DEC-PREV","2053_HF")</f>
        <v>#NAME?</v>
      </c>
    </row>
    <row r="80" spans="1:23" s="10" customFormat="1" ht="14.5" x14ac:dyDescent="0.35">
      <c r="A80" s="296" t="s">
        <v>301</v>
      </c>
      <c r="B80" s="130"/>
      <c r="C80" s="130"/>
      <c r="D80" s="126" t="e">
        <f ca="1">FISCA("2053_HG")</f>
        <v>#NAME?</v>
      </c>
      <c r="E80" s="126" t="e">
        <f ca="1">FISCA("2053_HGN1")</f>
        <v>#NAME?</v>
      </c>
      <c r="F80" s="112" t="e">
        <f ca="1">PHASE.FISCA("DEC-PREV","2053_HG")</f>
        <v>#NAME?</v>
      </c>
    </row>
    <row r="81" spans="1:6" s="10" customFormat="1" ht="14.5" x14ac:dyDescent="0.35">
      <c r="A81" s="297" t="s">
        <v>302</v>
      </c>
      <c r="B81" s="138"/>
      <c r="C81" s="138"/>
      <c r="D81" s="128" t="e">
        <f ca="1">SUM(D78:D80)</f>
        <v>#NAME?</v>
      </c>
      <c r="E81" s="128" t="e">
        <f ca="1">SUM(E78:E80)</f>
        <v>#NAME?</v>
      </c>
      <c r="F81" s="128" t="e">
        <f ca="1">SUM(F78:F80)</f>
        <v>#NAME?</v>
      </c>
    </row>
    <row r="82" spans="1:6" s="10" customFormat="1" ht="14.5" x14ac:dyDescent="0.35">
      <c r="A82" s="310"/>
      <c r="B82" s="138"/>
      <c r="C82" s="138"/>
      <c r="D82" s="128"/>
      <c r="E82" s="128"/>
      <c r="F82" s="112"/>
    </row>
    <row r="83" spans="1:6" s="10" customFormat="1" ht="14.5" x14ac:dyDescent="0.35">
      <c r="A83" s="304" t="s">
        <v>303</v>
      </c>
      <c r="B83" s="143"/>
      <c r="C83" s="143"/>
      <c r="D83" s="144" t="e">
        <f ca="1">D77-D81</f>
        <v>#NAME?</v>
      </c>
      <c r="E83" s="144" t="e">
        <f ca="1">E77-E81</f>
        <v>#NAME?</v>
      </c>
      <c r="F83" s="144" t="e">
        <f ca="1">F77-F81</f>
        <v>#NAME?</v>
      </c>
    </row>
    <row r="84" spans="1:6" s="10" customFormat="1" ht="14.5" x14ac:dyDescent="0.35">
      <c r="A84" s="310"/>
      <c r="B84" s="150"/>
      <c r="C84" s="150"/>
      <c r="D84" s="151"/>
      <c r="E84" s="151"/>
      <c r="F84" s="112"/>
    </row>
    <row r="85" spans="1:6" s="10" customFormat="1" ht="14.5" x14ac:dyDescent="0.35">
      <c r="A85" s="296" t="s">
        <v>304</v>
      </c>
      <c r="B85" s="130"/>
      <c r="C85" s="130"/>
      <c r="D85" s="126" t="e">
        <f ca="1">FISCA("2053_HJ")</f>
        <v>#NAME?</v>
      </c>
      <c r="E85" s="126" t="e">
        <f ca="1">FISCA("2053_HJN1")</f>
        <v>#NAME?</v>
      </c>
      <c r="F85" s="112" t="e">
        <f ca="1">PHASE.FISCA("DEC-PREV","2053_HJ")</f>
        <v>#NAME?</v>
      </c>
    </row>
    <row r="86" spans="1:6" s="10" customFormat="1" ht="14.5" x14ac:dyDescent="0.35">
      <c r="A86" s="296" t="s">
        <v>305</v>
      </c>
      <c r="B86" s="130"/>
      <c r="C86" s="130"/>
      <c r="D86" s="126" t="e">
        <f ca="1">FISCA("2053_HK")</f>
        <v>#NAME?</v>
      </c>
      <c r="E86" s="126" t="e">
        <f ca="1">FISCA("2053_HKN1")</f>
        <v>#NAME?</v>
      </c>
      <c r="F86" s="112" t="e">
        <f ca="1">PHASE.FISCA("DEC-PREV","2053_HK")</f>
        <v>#NAME?</v>
      </c>
    </row>
    <row r="87" spans="1:6" s="10" customFormat="1" ht="14.5" x14ac:dyDescent="0.35">
      <c r="A87" s="310"/>
      <c r="B87" s="130"/>
      <c r="C87" s="130"/>
      <c r="D87" s="126"/>
      <c r="E87" s="126"/>
      <c r="F87" s="112"/>
    </row>
    <row r="88" spans="1:6" s="10" customFormat="1" ht="14.5" x14ac:dyDescent="0.35">
      <c r="A88" s="297" t="s">
        <v>306</v>
      </c>
      <c r="B88" s="138"/>
      <c r="C88" s="138"/>
      <c r="D88" s="128" t="e">
        <f ca="1">FISCA("2053_HL")</f>
        <v>#NAME?</v>
      </c>
      <c r="E88" s="128" t="e">
        <f ca="1">FISCA("2053_HLN1")</f>
        <v>#NAME?</v>
      </c>
      <c r="F88" s="128" t="e">
        <f ca="1">PHASE.FISCA("DEC-PREV","2053_HL")</f>
        <v>#NAME?</v>
      </c>
    </row>
    <row r="89" spans="1:6" s="10" customFormat="1" ht="14.5" x14ac:dyDescent="0.35">
      <c r="A89" s="297" t="s">
        <v>307</v>
      </c>
      <c r="B89" s="138"/>
      <c r="C89" s="138"/>
      <c r="D89" s="128" t="e">
        <f ca="1">FISCA("2053_HM")</f>
        <v>#NAME?</v>
      </c>
      <c r="E89" s="128" t="e">
        <f ca="1">FISCA("2053_HMN1")</f>
        <v>#NAME?</v>
      </c>
      <c r="F89" s="128" t="e">
        <f ca="1">PHASE.FISCA("DEC-PREV","2053_HM")</f>
        <v>#NAME?</v>
      </c>
    </row>
    <row r="90" spans="1:6" s="10" customFormat="1" ht="14.5" x14ac:dyDescent="0.35">
      <c r="A90" s="310"/>
      <c r="B90" s="138"/>
      <c r="C90" s="138"/>
      <c r="D90" s="128"/>
      <c r="E90" s="128"/>
      <c r="F90" s="112"/>
    </row>
    <row r="91" spans="1:6" s="10" customFormat="1" ht="14.5" x14ac:dyDescent="0.35">
      <c r="A91" s="304" t="s">
        <v>308</v>
      </c>
      <c r="B91" s="154"/>
      <c r="C91" s="154"/>
      <c r="D91" s="155" t="e">
        <f ca="1">FISCA("2053_HN")</f>
        <v>#NAME?</v>
      </c>
      <c r="E91" s="155" t="e">
        <f ca="1">FISCA("2053_HN1")</f>
        <v>#NAME?</v>
      </c>
      <c r="F91" s="155" t="e">
        <f ca="1">PHASE.FISCA("DEC-PREV","2053_HN")</f>
        <v>#NAME?</v>
      </c>
    </row>
    <row r="92" spans="1:6" s="10" customFormat="1" ht="14.5" x14ac:dyDescent="0.35">
      <c r="A92" s="287"/>
      <c r="B92" s="156"/>
      <c r="C92" s="156"/>
      <c r="D92" s="157"/>
      <c r="E92" s="157"/>
      <c r="F92" s="112"/>
    </row>
    <row r="93" spans="1:6" s="10" customFormat="1" ht="14.5" x14ac:dyDescent="0.35">
      <c r="A93" s="294" t="s">
        <v>309</v>
      </c>
      <c r="B93" s="158"/>
      <c r="C93" s="159"/>
      <c r="D93" s="160"/>
      <c r="E93" s="160"/>
      <c r="F93" s="112"/>
    </row>
    <row r="94" spans="1:6" s="10" customFormat="1" ht="14.5" x14ac:dyDescent="0.35">
      <c r="A94" s="294" t="s">
        <v>310</v>
      </c>
      <c r="B94" s="158"/>
      <c r="C94" s="159"/>
      <c r="D94" s="160"/>
      <c r="E94" s="160"/>
      <c r="F94" s="112"/>
    </row>
    <row r="95" spans="1:6" s="10" customFormat="1" ht="14.5" x14ac:dyDescent="0.35">
      <c r="A95" s="161" t="s">
        <v>25</v>
      </c>
      <c r="B95" s="162"/>
      <c r="C95" s="162"/>
      <c r="D95" s="163"/>
      <c r="E95" s="163"/>
      <c r="F95" s="112"/>
    </row>
    <row r="96" spans="1:6" s="11" customFormat="1" x14ac:dyDescent="0.3">
      <c r="A96" s="109"/>
      <c r="B96" s="109"/>
      <c r="C96" s="109"/>
      <c r="D96" s="110"/>
      <c r="E96" s="110"/>
      <c r="F96" s="164"/>
    </row>
    <row r="97" spans="1:23" s="10" customFormat="1" ht="14.5" x14ac:dyDescent="0.35">
      <c r="A97" s="109" t="s">
        <v>39</v>
      </c>
      <c r="B97" s="109"/>
      <c r="C97" s="109"/>
      <c r="D97" s="110"/>
      <c r="E97" s="110"/>
      <c r="F97" s="112"/>
    </row>
    <row r="98" spans="1:23" s="10" customFormat="1" ht="15" thickBot="1" x14ac:dyDescent="0.4">
      <c r="A98" s="286" t="s">
        <v>40</v>
      </c>
      <c r="B98" s="286"/>
      <c r="C98" s="286"/>
      <c r="D98" s="165" t="e">
        <f ca="1">Q98</f>
        <v>#NAME?</v>
      </c>
      <c r="E98" s="165" t="e">
        <f ca="1">R98</f>
        <v>#NAME?</v>
      </c>
      <c r="F98" s="165" t="e">
        <f ca="1">T98</f>
        <v>#NAME?</v>
      </c>
      <c r="Q98" s="133" t="e">
        <f ca="1">+SUMCPTF(U98,V98)</f>
        <v>#NAME?</v>
      </c>
      <c r="R98" s="134" t="e">
        <f ca="1">SUMCPTF(U98,V98,-1)</f>
        <v>#NAME?</v>
      </c>
      <c r="S98" s="10" t="e">
        <f ca="1">PHASE.SUMCPTFMV("REELLE",U98,V98,W98,0,,,0)</f>
        <v>#NAME?</v>
      </c>
      <c r="T98" s="10" t="e">
        <f ca="1">PHASE.SUMCPTFMV("DEC-PREV",U98,V98,W98,0,,,0)</f>
        <v>#NAME?</v>
      </c>
      <c r="U98" s="109">
        <v>9</v>
      </c>
      <c r="V98" s="109">
        <v>9</v>
      </c>
      <c r="W98" s="109" t="s">
        <v>14</v>
      </c>
    </row>
    <row r="99" spans="1:23" s="11" customFormat="1" x14ac:dyDescent="0.3">
      <c r="A99" s="109"/>
      <c r="B99" s="109"/>
      <c r="C99" s="109"/>
      <c r="D99" s="110"/>
      <c r="E99" s="110"/>
      <c r="F99" s="164"/>
    </row>
    <row r="100" spans="1:23" s="11" customFormat="1" x14ac:dyDescent="0.3">
      <c r="A100" s="109"/>
      <c r="B100" s="109"/>
      <c r="C100" s="109"/>
      <c r="D100" s="110"/>
      <c r="E100" s="110"/>
      <c r="F100" s="164"/>
    </row>
    <row r="101" spans="1:23" s="11" customFormat="1" x14ac:dyDescent="0.3">
      <c r="A101" s="109"/>
      <c r="B101" s="109"/>
      <c r="C101" s="109"/>
      <c r="D101" s="110"/>
      <c r="E101" s="110"/>
      <c r="F101" s="164"/>
    </row>
    <row r="102" spans="1:23" s="11" customFormat="1" x14ac:dyDescent="0.3">
      <c r="A102" s="109"/>
      <c r="B102" s="109"/>
      <c r="C102" s="109"/>
      <c r="D102" s="110"/>
      <c r="E102" s="110"/>
      <c r="F102" s="164"/>
    </row>
    <row r="103" spans="1:23" s="11" customFormat="1" x14ac:dyDescent="0.3">
      <c r="A103" s="109"/>
      <c r="B103" s="109"/>
      <c r="C103" s="109"/>
      <c r="D103" s="110"/>
      <c r="E103" s="110"/>
      <c r="F103" s="164"/>
    </row>
    <row r="104" spans="1:23" s="11" customFormat="1" x14ac:dyDescent="0.3">
      <c r="A104" s="109"/>
      <c r="B104" s="109"/>
      <c r="C104" s="109"/>
      <c r="D104" s="110"/>
      <c r="E104" s="110"/>
      <c r="F104" s="164"/>
    </row>
    <row r="105" spans="1:23" s="11" customFormat="1" x14ac:dyDescent="0.3">
      <c r="A105" s="109"/>
      <c r="B105" s="109"/>
      <c r="C105" s="109"/>
      <c r="D105" s="110"/>
      <c r="E105" s="110"/>
      <c r="F105" s="164"/>
    </row>
    <row r="106" spans="1:23" s="11" customFormat="1" x14ac:dyDescent="0.3">
      <c r="A106" s="109"/>
      <c r="B106" s="109"/>
      <c r="C106" s="109"/>
      <c r="D106" s="110"/>
      <c r="E106" s="110"/>
      <c r="F106" s="164"/>
    </row>
    <row r="107" spans="1:23" s="11" customFormat="1" x14ac:dyDescent="0.3">
      <c r="A107" s="109"/>
      <c r="B107" s="109"/>
      <c r="C107" s="109"/>
      <c r="D107" s="110"/>
      <c r="E107" s="110"/>
      <c r="F107" s="164"/>
    </row>
    <row r="108" spans="1:23" s="11" customFormat="1" x14ac:dyDescent="0.3">
      <c r="A108" s="109"/>
      <c r="B108" s="109"/>
      <c r="C108" s="109"/>
      <c r="D108" s="110"/>
      <c r="E108" s="110"/>
      <c r="F108" s="164"/>
    </row>
    <row r="109" spans="1:23" s="11" customFormat="1" x14ac:dyDescent="0.3">
      <c r="A109" s="109"/>
      <c r="B109" s="109"/>
      <c r="C109" s="109"/>
      <c r="D109" s="110"/>
      <c r="E109" s="110"/>
      <c r="F109" s="164"/>
    </row>
    <row r="110" spans="1:23" s="11" customFormat="1" x14ac:dyDescent="0.3">
      <c r="A110" s="109"/>
      <c r="B110" s="109"/>
      <c r="C110" s="109"/>
      <c r="D110" s="110"/>
      <c r="E110" s="110"/>
      <c r="F110" s="164"/>
    </row>
    <row r="111" spans="1:23" s="11" customFormat="1" x14ac:dyDescent="0.3">
      <c r="A111" s="109"/>
      <c r="B111" s="109"/>
      <c r="C111" s="109"/>
      <c r="D111" s="110"/>
      <c r="E111" s="110"/>
      <c r="F111" s="164"/>
    </row>
    <row r="112" spans="1:23" s="11" customFormat="1" x14ac:dyDescent="0.3">
      <c r="A112" s="109"/>
      <c r="B112" s="109"/>
      <c r="C112" s="109"/>
      <c r="D112" s="110"/>
      <c r="E112" s="110"/>
      <c r="F112" s="164"/>
    </row>
    <row r="113" spans="1:6" s="11" customFormat="1" x14ac:dyDescent="0.3">
      <c r="A113" s="109"/>
      <c r="B113" s="109"/>
      <c r="C113" s="109"/>
      <c r="D113" s="110"/>
      <c r="E113" s="110"/>
      <c r="F113" s="164"/>
    </row>
    <row r="114" spans="1:6" s="11" customFormat="1" x14ac:dyDescent="0.3">
      <c r="A114" s="109"/>
      <c r="B114" s="109"/>
      <c r="C114" s="109"/>
      <c r="D114" s="110"/>
      <c r="E114" s="110"/>
      <c r="F114" s="164"/>
    </row>
    <row r="115" spans="1:6" s="11" customFormat="1" x14ac:dyDescent="0.3">
      <c r="A115" s="109"/>
      <c r="B115" s="109"/>
      <c r="C115" s="109"/>
      <c r="D115" s="110"/>
      <c r="E115" s="110"/>
      <c r="F115" s="164"/>
    </row>
    <row r="116" spans="1:6" s="11" customFormat="1" x14ac:dyDescent="0.3">
      <c r="A116" s="109"/>
      <c r="B116" s="109"/>
      <c r="C116" s="109"/>
      <c r="D116" s="110"/>
      <c r="E116" s="110"/>
      <c r="F116" s="164"/>
    </row>
    <row r="117" spans="1:6" s="11" customFormat="1" x14ac:dyDescent="0.3">
      <c r="A117" s="109"/>
      <c r="B117" s="109"/>
      <c r="C117" s="109"/>
      <c r="D117" s="110"/>
      <c r="E117" s="110"/>
      <c r="F117" s="164"/>
    </row>
    <row r="118" spans="1:6" s="11" customFormat="1" x14ac:dyDescent="0.3">
      <c r="A118" s="109"/>
      <c r="B118" s="109"/>
      <c r="C118" s="109"/>
      <c r="D118" s="110"/>
      <c r="E118" s="110"/>
      <c r="F118" s="164"/>
    </row>
    <row r="119" spans="1:6" s="11" customFormat="1" x14ac:dyDescent="0.3">
      <c r="A119" s="109"/>
      <c r="B119" s="109"/>
      <c r="C119" s="109"/>
      <c r="D119" s="110"/>
      <c r="E119" s="110"/>
      <c r="F119" s="164"/>
    </row>
    <row r="120" spans="1:6" s="11" customFormat="1" x14ac:dyDescent="0.3">
      <c r="A120" s="109"/>
      <c r="B120" s="109"/>
      <c r="C120" s="109"/>
      <c r="D120" s="110"/>
      <c r="E120" s="110"/>
      <c r="F120" s="164"/>
    </row>
    <row r="121" spans="1:6" s="11" customFormat="1" x14ac:dyDescent="0.3">
      <c r="A121" s="109"/>
      <c r="B121" s="109"/>
      <c r="C121" s="109"/>
      <c r="D121" s="110"/>
      <c r="E121" s="110"/>
      <c r="F121" s="164"/>
    </row>
    <row r="122" spans="1:6" s="11" customFormat="1" x14ac:dyDescent="0.3">
      <c r="A122" s="109"/>
      <c r="B122" s="109"/>
      <c r="C122" s="109"/>
      <c r="D122" s="110"/>
      <c r="E122" s="110"/>
      <c r="F122" s="164"/>
    </row>
    <row r="123" spans="1:6" s="11" customFormat="1" x14ac:dyDescent="0.3">
      <c r="A123" s="109"/>
      <c r="B123" s="109"/>
      <c r="C123" s="109"/>
      <c r="D123" s="110"/>
      <c r="E123" s="110"/>
      <c r="F123" s="164"/>
    </row>
    <row r="124" spans="1:6" s="11" customFormat="1" x14ac:dyDescent="0.3">
      <c r="A124" s="109"/>
      <c r="B124" s="109"/>
      <c r="C124" s="109"/>
      <c r="D124" s="110"/>
      <c r="E124" s="110"/>
      <c r="F124" s="164"/>
    </row>
    <row r="125" spans="1:6" s="11" customFormat="1" x14ac:dyDescent="0.3">
      <c r="A125" s="109"/>
      <c r="B125" s="109"/>
      <c r="C125" s="109"/>
      <c r="D125" s="110"/>
      <c r="E125" s="110"/>
      <c r="F125" s="164"/>
    </row>
    <row r="126" spans="1:6" s="11" customFormat="1" x14ac:dyDescent="0.3">
      <c r="A126" s="109"/>
      <c r="B126" s="109"/>
      <c r="C126" s="109"/>
      <c r="D126" s="110"/>
      <c r="E126" s="110"/>
      <c r="F126" s="164"/>
    </row>
    <row r="127" spans="1:6" s="11" customFormat="1" x14ac:dyDescent="0.3">
      <c r="A127" s="109"/>
      <c r="B127" s="109"/>
      <c r="C127" s="109"/>
      <c r="D127" s="110"/>
      <c r="E127" s="110"/>
      <c r="F127" s="164"/>
    </row>
    <row r="128" spans="1:6" s="11" customFormat="1" x14ac:dyDescent="0.3">
      <c r="A128" s="109"/>
      <c r="B128" s="109"/>
      <c r="C128" s="109"/>
      <c r="D128" s="110"/>
      <c r="E128" s="110"/>
      <c r="F128" s="164"/>
    </row>
    <row r="129" spans="1:6" s="11" customFormat="1" x14ac:dyDescent="0.3">
      <c r="A129" s="109"/>
      <c r="B129" s="109"/>
      <c r="C129" s="109"/>
      <c r="D129" s="110"/>
      <c r="E129" s="110"/>
      <c r="F129" s="164"/>
    </row>
    <row r="130" spans="1:6" s="11" customFormat="1" x14ac:dyDescent="0.3">
      <c r="A130" s="109"/>
      <c r="B130" s="109"/>
      <c r="C130" s="109"/>
      <c r="D130" s="110"/>
      <c r="E130" s="110"/>
      <c r="F130" s="164"/>
    </row>
    <row r="131" spans="1:6" s="11" customFormat="1" x14ac:dyDescent="0.3">
      <c r="A131" s="109"/>
      <c r="B131" s="109"/>
      <c r="C131" s="109"/>
      <c r="D131" s="110"/>
      <c r="E131" s="110"/>
      <c r="F131" s="164"/>
    </row>
    <row r="132" spans="1:6" s="11" customFormat="1" x14ac:dyDescent="0.3">
      <c r="A132" s="109"/>
      <c r="B132" s="109"/>
      <c r="C132" s="109"/>
      <c r="D132" s="110"/>
      <c r="E132" s="110"/>
      <c r="F132" s="164"/>
    </row>
  </sheetData>
  <mergeCells count="1">
    <mergeCell ref="A98:C98"/>
  </mergeCells>
  <pageMargins left="0.70138889999999998" right="0.70138889999999998" top="0.74861109999999997" bottom="0.74861109999999997" header="0.2993056" footer="0.2993056"/>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autoPageBreaks="0" fitToPage="1"/>
  </sheetPr>
  <dimension ref="A1:O219"/>
  <sheetViews>
    <sheetView zoomScale="80" zoomScaleNormal="80" workbookViewId="0">
      <pane ySplit="13" topLeftCell="A14" activePane="bottomLeft" state="frozen"/>
      <selection pane="bottomLeft" activeCell="A22" sqref="A22"/>
    </sheetView>
  </sheetViews>
  <sheetFormatPr baseColWidth="10" defaultColWidth="16.36328125" defaultRowHeight="14.5" x14ac:dyDescent="0.35"/>
  <cols>
    <col min="1" max="1" width="62.6328125" style="12" customWidth="1"/>
    <col min="2" max="2" width="12.26953125" style="12" customWidth="1"/>
    <col min="3" max="3" width="4.6328125" style="166" customWidth="1"/>
    <col min="4" max="5" width="16.36328125" style="167" customWidth="1"/>
    <col min="7" max="7" width="7" style="168" customWidth="1"/>
  </cols>
  <sheetData>
    <row r="1" spans="1:15" s="12" customFormat="1" x14ac:dyDescent="0.35">
      <c r="A1" s="169"/>
      <c r="B1" s="169"/>
      <c r="C1" s="170"/>
      <c r="D1" s="171"/>
      <c r="E1" s="171"/>
      <c r="F1" s="171"/>
      <c r="G1" s="171"/>
      <c r="H1" s="172" t="s">
        <v>41</v>
      </c>
      <c r="I1" s="172"/>
      <c r="J1" s="172"/>
      <c r="K1" s="171"/>
      <c r="L1" s="173"/>
      <c r="M1" s="174"/>
      <c r="N1" s="167"/>
      <c r="O1" s="167"/>
    </row>
    <row r="2" spans="1:15" s="12" customFormat="1" x14ac:dyDescent="0.35">
      <c r="A2" s="169"/>
      <c r="B2" s="169"/>
      <c r="C2" s="170"/>
      <c r="D2" s="171"/>
      <c r="E2" s="171" t="s">
        <v>42</v>
      </c>
      <c r="F2" s="171"/>
      <c r="G2" s="171"/>
      <c r="H2" s="171"/>
      <c r="I2" s="171" t="s">
        <v>42</v>
      </c>
      <c r="J2" s="171"/>
      <c r="K2" s="171"/>
      <c r="L2" s="173"/>
      <c r="M2" s="174"/>
      <c r="N2" s="167"/>
      <c r="O2" s="167"/>
    </row>
    <row r="3" spans="1:15" s="12" customFormat="1" x14ac:dyDescent="0.35">
      <c r="A3" s="169"/>
      <c r="B3" s="169"/>
      <c r="C3" s="170"/>
      <c r="D3" s="171" t="s">
        <v>43</v>
      </c>
      <c r="E3" s="171"/>
      <c r="F3" s="171"/>
      <c r="G3" s="171"/>
      <c r="H3" s="171" t="s">
        <v>43</v>
      </c>
      <c r="I3" s="171"/>
      <c r="J3" s="171"/>
      <c r="K3" s="171"/>
      <c r="L3" s="173"/>
      <c r="M3" s="174"/>
      <c r="N3" s="167"/>
      <c r="O3" s="167"/>
    </row>
    <row r="4" spans="1:15" s="12" customFormat="1" x14ac:dyDescent="0.35">
      <c r="A4" s="175"/>
      <c r="B4" s="176"/>
      <c r="C4" s="177"/>
      <c r="D4" s="178"/>
      <c r="E4" s="179"/>
      <c r="F4" s="180" t="s">
        <v>44</v>
      </c>
      <c r="G4" s="181"/>
      <c r="H4" s="178"/>
      <c r="I4" s="179"/>
      <c r="J4" s="180" t="s">
        <v>44</v>
      </c>
      <c r="K4" s="181"/>
      <c r="L4" s="173"/>
      <c r="M4" s="174"/>
      <c r="N4" s="167"/>
      <c r="O4" s="167"/>
    </row>
    <row r="5" spans="1:15" s="12" customFormat="1" x14ac:dyDescent="0.35">
      <c r="A5" s="182" t="e">
        <f ca="1">SOCINFO("ldesc")</f>
        <v>#NAME?</v>
      </c>
      <c r="C5" s="183"/>
      <c r="D5" s="181" t="e">
        <f ca="1">+DATECLOT()</f>
        <v>#NAME?</v>
      </c>
      <c r="E5" s="184" t="e">
        <f ca="1">PHASE.DATECLOT("DEC-PREV")</f>
        <v>#NAME?</v>
      </c>
      <c r="F5" s="185" t="e">
        <f ca="1">+"au "&amp;DATECLOT()</f>
        <v>#NAME?</v>
      </c>
      <c r="G5" s="186"/>
      <c r="H5" s="187" t="e">
        <f ca="1">+DATECLOTPREV()</f>
        <v>#NAME?</v>
      </c>
      <c r="I5" s="181" t="e">
        <f ca="1">+PHASE.DATECLOTPREV("DEC-PREV")</f>
        <v>#NAME?</v>
      </c>
      <c r="J5" s="185" t="e">
        <f ca="1">+"au "&amp;DATECLOTPREV()</f>
        <v>#NAME?</v>
      </c>
      <c r="K5" s="186"/>
      <c r="L5" s="188"/>
      <c r="M5" s="167"/>
      <c r="N5" s="167"/>
      <c r="O5" s="167"/>
    </row>
    <row r="6" spans="1:15" s="12" customFormat="1" ht="15" thickBot="1" x14ac:dyDescent="0.4">
      <c r="A6" s="189"/>
      <c r="B6" s="190"/>
      <c r="D6" s="191" t="s">
        <v>45</v>
      </c>
      <c r="E6" s="186" t="s">
        <v>46</v>
      </c>
      <c r="F6" s="192"/>
      <c r="G6" s="193"/>
      <c r="H6" s="191" t="s">
        <v>46</v>
      </c>
      <c r="I6" s="186" t="s">
        <v>47</v>
      </c>
      <c r="J6" s="192"/>
      <c r="K6" s="193"/>
      <c r="L6" s="188"/>
      <c r="M6" s="167"/>
      <c r="N6" s="167"/>
      <c r="O6" s="167"/>
    </row>
    <row r="7" spans="1:15" s="12" customFormat="1" ht="15" thickTop="1" x14ac:dyDescent="0.35">
      <c r="A7" s="194"/>
      <c r="B7" s="195"/>
      <c r="D7" s="196"/>
      <c r="E7" s="197"/>
      <c r="F7" s="198"/>
      <c r="G7" s="193"/>
      <c r="H7" s="196"/>
      <c r="I7" s="197"/>
      <c r="J7" s="198"/>
      <c r="K7" s="193"/>
      <c r="L7" s="188"/>
      <c r="M7" s="167"/>
      <c r="N7" s="167"/>
      <c r="O7" s="167"/>
    </row>
    <row r="8" spans="1:15" s="12" customFormat="1" x14ac:dyDescent="0.35">
      <c r="A8" s="199" t="s">
        <v>48</v>
      </c>
      <c r="B8" s="190"/>
      <c r="D8" s="200" t="e">
        <f ca="1">IF(FISCA("2053_HN")&gt;0,FISCA("2053_HN"),)</f>
        <v>#NAME?</v>
      </c>
      <c r="E8" s="193"/>
      <c r="F8" s="192" t="e">
        <f ca="1">+D8-E8</f>
        <v>#NAME?</v>
      </c>
      <c r="G8" s="193"/>
      <c r="H8" s="200" t="e">
        <f ca="1">IF(FISCA("2053_HN",-1)&gt;0,FISCA("2053_HN",-1),)</f>
        <v>#NAME?</v>
      </c>
      <c r="I8" s="193"/>
      <c r="J8" s="192" t="e">
        <f ca="1">+H8-I8</f>
        <v>#NAME?</v>
      </c>
      <c r="K8" s="193"/>
      <c r="L8" s="188"/>
      <c r="M8" s="167"/>
      <c r="N8" s="167"/>
      <c r="O8" s="167"/>
    </row>
    <row r="9" spans="1:15" s="12" customFormat="1" ht="15" customHeight="1" x14ac:dyDescent="0.35">
      <c r="A9" s="199" t="s">
        <v>49</v>
      </c>
      <c r="B9" s="190"/>
      <c r="D9" s="200" t="e">
        <f ca="1">-IF(FISCA("2053_HN")&lt;0,FISCA("2053_HN"),)</f>
        <v>#NAME?</v>
      </c>
      <c r="E9" s="193"/>
      <c r="F9" s="192" t="e">
        <f ca="1">+D9-E9</f>
        <v>#NAME?</v>
      </c>
      <c r="G9" s="193"/>
      <c r="H9" s="200" t="e">
        <f ca="1">-IF(FISCA("2053_HN",-1)&lt;0,FISCA("2053_HN",-1),)</f>
        <v>#NAME?</v>
      </c>
      <c r="I9" s="193"/>
      <c r="J9" s="192" t="e">
        <f ca="1">+H9-I9</f>
        <v>#NAME?</v>
      </c>
      <c r="K9" s="193"/>
      <c r="L9" s="188"/>
      <c r="M9" s="167"/>
      <c r="N9" s="167"/>
      <c r="O9" s="167"/>
    </row>
    <row r="10" spans="1:15" s="12" customFormat="1" ht="15" customHeight="1" thickBot="1" x14ac:dyDescent="0.4">
      <c r="A10" s="201"/>
      <c r="B10" s="202"/>
      <c r="D10" s="203"/>
      <c r="E10" s="204"/>
      <c r="F10" s="205"/>
      <c r="G10" s="193"/>
      <c r="H10" s="203"/>
      <c r="I10" s="204"/>
      <c r="J10" s="205"/>
      <c r="K10" s="193"/>
      <c r="L10" s="188"/>
      <c r="M10" s="167"/>
      <c r="N10" s="167"/>
      <c r="O10" s="167"/>
    </row>
    <row r="11" spans="1:15" s="12" customFormat="1" ht="15" customHeight="1" thickTop="1" x14ac:dyDescent="0.35">
      <c r="A11" s="206"/>
      <c r="B11" s="207"/>
      <c r="D11" s="200"/>
      <c r="E11" s="193"/>
      <c r="F11" s="192"/>
      <c r="G11" s="193"/>
      <c r="H11" s="200"/>
      <c r="I11" s="193"/>
      <c r="J11" s="192"/>
      <c r="K11" s="193"/>
      <c r="L11" s="188"/>
      <c r="M11" s="167"/>
      <c r="N11" s="167"/>
      <c r="O11" s="167"/>
    </row>
    <row r="12" spans="1:15" s="12" customFormat="1" ht="15" customHeight="1" x14ac:dyDescent="0.35">
      <c r="A12" s="206" t="s">
        <v>50</v>
      </c>
      <c r="B12" s="207"/>
      <c r="D12" s="200" t="e">
        <f ca="1">SUMCPTF("681000","681199")+SUMCPT("681260")+SUMCPTF("681300","681499")</f>
        <v>#NAME?</v>
      </c>
      <c r="E12" s="193"/>
      <c r="F12" s="192" t="e">
        <f ca="1">+D12-E12</f>
        <v>#NAME?</v>
      </c>
      <c r="G12" s="193"/>
      <c r="H12" s="200" t="e">
        <f ca="1">SUMCPTF("681000","681199",-1)+SUMCPT("681260",-1)+SUMCPTF("681300","681499",-1)</f>
        <v>#NAME?</v>
      </c>
      <c r="I12" s="193"/>
      <c r="J12" s="192" t="e">
        <f ca="1">+H12-I12</f>
        <v>#NAME?</v>
      </c>
      <c r="K12" s="193"/>
      <c r="L12" s="188" t="e">
        <f ca="1">LDESC("2052_GA")</f>
        <v>#NAME?</v>
      </c>
      <c r="M12" s="167"/>
      <c r="N12" s="167"/>
      <c r="O12" s="167"/>
    </row>
    <row r="13" spans="1:15" s="12" customFormat="1" ht="15" customHeight="1" x14ac:dyDescent="0.35">
      <c r="A13" s="206" t="s">
        <v>51</v>
      </c>
      <c r="B13" s="207"/>
      <c r="D13" s="200" t="e">
        <f ca="1">+SUMCPT("687250")</f>
        <v>#NAME?</v>
      </c>
      <c r="E13" s="193"/>
      <c r="F13" s="192" t="e">
        <f ca="1">+D13-E13</f>
        <v>#NAME?</v>
      </c>
      <c r="G13" s="193"/>
      <c r="H13" s="200" t="e">
        <f ca="1">+SUMCPT("687250",-1)</f>
        <v>#NAME?</v>
      </c>
      <c r="I13" s="193"/>
      <c r="J13" s="192" t="e">
        <f ca="1">+H13-I13</f>
        <v>#NAME?</v>
      </c>
      <c r="K13" s="193"/>
      <c r="L13" s="188" t="e">
        <f ca="1">LDESC("2056_TM")</f>
        <v>#NAME?</v>
      </c>
      <c r="M13" s="167"/>
      <c r="N13" s="167"/>
      <c r="O13" s="167"/>
    </row>
    <row r="14" spans="1:15" s="12" customFormat="1" ht="15" customHeight="1" x14ac:dyDescent="0.35">
      <c r="A14" s="206" t="s">
        <v>52</v>
      </c>
      <c r="B14" s="207"/>
      <c r="D14" s="200" t="e">
        <f ca="1">+SUMCPT("681200")</f>
        <v>#NAME?</v>
      </c>
      <c r="E14" s="193"/>
      <c r="F14" s="192" t="e">
        <f ca="1">+D14-E14</f>
        <v>#NAME?</v>
      </c>
      <c r="G14" s="193"/>
      <c r="H14" s="200" t="e">
        <f ca="1">+SUMCPT("681200",-1)</f>
        <v>#NAME?</v>
      </c>
      <c r="I14" s="193"/>
      <c r="J14" s="192" t="e">
        <f ca="1">+H14-I14</f>
        <v>#NAME?</v>
      </c>
      <c r="K14" s="193"/>
      <c r="L14" s="188"/>
      <c r="M14" s="167"/>
      <c r="N14" s="167"/>
      <c r="O14" s="167"/>
    </row>
    <row r="15" spans="1:15" s="12" customFormat="1" ht="15" customHeight="1" x14ac:dyDescent="0.35">
      <c r="A15" s="206" t="s">
        <v>53</v>
      </c>
      <c r="B15" s="207"/>
      <c r="D15" s="200"/>
      <c r="E15" s="193"/>
      <c r="F15" s="208">
        <f>+D15-E15</f>
        <v>0</v>
      </c>
      <c r="G15" s="193"/>
      <c r="H15" s="200"/>
      <c r="I15" s="193"/>
      <c r="J15" s="192"/>
      <c r="K15" s="193"/>
      <c r="L15" s="188"/>
      <c r="M15" s="167"/>
      <c r="N15" s="167"/>
      <c r="O15" s="167"/>
    </row>
    <row r="16" spans="1:15" s="12" customFormat="1" ht="15" customHeight="1" x14ac:dyDescent="0.35">
      <c r="A16" s="206"/>
      <c r="B16" s="207"/>
      <c r="D16" s="200"/>
      <c r="E16" s="193"/>
      <c r="F16" s="192"/>
      <c r="G16" s="193"/>
      <c r="H16" s="200"/>
      <c r="I16" s="193"/>
      <c r="J16" s="192"/>
      <c r="K16" s="193"/>
      <c r="L16" s="188"/>
      <c r="M16" s="167"/>
      <c r="N16" s="167"/>
      <c r="O16" s="167"/>
    </row>
    <row r="17" spans="1:15" s="12" customFormat="1" ht="15" customHeight="1" x14ac:dyDescent="0.35">
      <c r="A17" s="209" t="s">
        <v>54</v>
      </c>
      <c r="B17" s="210"/>
      <c r="C17" s="211"/>
      <c r="D17" s="212" t="e">
        <f ca="1">SUM(D12:D16)</f>
        <v>#NAME?</v>
      </c>
      <c r="E17" s="213"/>
      <c r="F17" s="214" t="e">
        <f ca="1">SUM(F12:F16)</f>
        <v>#NAME?</v>
      </c>
      <c r="G17" s="213"/>
      <c r="H17" s="212" t="e">
        <f ca="1">SUM(H12:H16)</f>
        <v>#NAME?</v>
      </c>
      <c r="I17" s="213"/>
      <c r="J17" s="214" t="e">
        <f ca="1">SUM(J12:J16)</f>
        <v>#NAME?</v>
      </c>
      <c r="K17" s="213"/>
      <c r="L17" s="188"/>
      <c r="M17" s="167"/>
      <c r="N17" s="167"/>
      <c r="O17" s="167"/>
    </row>
    <row r="18" spans="1:15" s="12" customFormat="1" ht="15" customHeight="1" x14ac:dyDescent="0.35">
      <c r="A18" s="206"/>
      <c r="B18" s="207"/>
      <c r="D18" s="200"/>
      <c r="E18" s="193"/>
      <c r="F18" s="192"/>
      <c r="G18" s="193"/>
      <c r="H18" s="200"/>
      <c r="I18" s="193"/>
      <c r="J18" s="192"/>
      <c r="K18" s="193"/>
      <c r="L18" s="188"/>
      <c r="M18" s="167"/>
      <c r="N18" s="167"/>
      <c r="O18" s="167"/>
    </row>
    <row r="19" spans="1:15" s="12" customFormat="1" ht="15" customHeight="1" x14ac:dyDescent="0.35">
      <c r="A19" s="206" t="s">
        <v>55</v>
      </c>
      <c r="B19" s="207"/>
      <c r="D19" s="215" t="e">
        <f ca="1">-SUMCPT("7811")</f>
        <v>#NAME?</v>
      </c>
      <c r="E19" s="193"/>
      <c r="F19" s="192" t="e">
        <f ca="1">+D19-E19</f>
        <v>#NAME?</v>
      </c>
      <c r="G19" s="193"/>
      <c r="H19" s="200" t="e">
        <f ca="1">-SUMCPT("7811",-1)</f>
        <v>#NAME?</v>
      </c>
      <c r="I19" s="193"/>
      <c r="J19" s="192" t="e">
        <f ca="1">+H19-I19</f>
        <v>#NAME?</v>
      </c>
      <c r="K19" s="193"/>
      <c r="L19" s="188"/>
      <c r="M19" s="167"/>
      <c r="N19" s="167"/>
      <c r="O19" s="167"/>
    </row>
    <row r="20" spans="1:15" s="12" customFormat="1" ht="15" customHeight="1" x14ac:dyDescent="0.35">
      <c r="A20" s="206" t="s">
        <v>56</v>
      </c>
      <c r="B20" s="207"/>
      <c r="D20" s="200" t="e">
        <f ca="1">-SUMCPT("787250")</f>
        <v>#NAME?</v>
      </c>
      <c r="E20" s="193"/>
      <c r="F20" s="192" t="e">
        <f ca="1">+D20-E20</f>
        <v>#NAME?</v>
      </c>
      <c r="G20" s="193"/>
      <c r="H20" s="200" t="e">
        <f ca="1">-SUMCPT("787250",-1)</f>
        <v>#NAME?</v>
      </c>
      <c r="I20" s="193"/>
      <c r="J20" s="192" t="e">
        <f ca="1">+H20-I20</f>
        <v>#NAME?</v>
      </c>
      <c r="K20" s="193"/>
      <c r="L20" s="188" t="e">
        <f ca="1">LDESC("2056_TN")</f>
        <v>#NAME?</v>
      </c>
      <c r="M20" s="167"/>
      <c r="N20" s="167"/>
      <c r="O20" s="167"/>
    </row>
    <row r="21" spans="1:15" s="12" customFormat="1" ht="15" customHeight="1" x14ac:dyDescent="0.35">
      <c r="A21" s="206" t="s">
        <v>57</v>
      </c>
      <c r="B21" s="207"/>
      <c r="C21" s="216"/>
      <c r="D21" s="200"/>
      <c r="E21" s="193"/>
      <c r="F21" s="208">
        <f>+D21-E21</f>
        <v>0</v>
      </c>
      <c r="G21" s="217"/>
      <c r="H21" s="200"/>
      <c r="I21" s="193"/>
      <c r="J21" s="208">
        <f>+H21-I21</f>
        <v>0</v>
      </c>
      <c r="K21" s="217"/>
      <c r="L21" s="188"/>
      <c r="M21" s="167"/>
      <c r="N21" s="167"/>
      <c r="O21" s="167"/>
    </row>
    <row r="22" spans="1:15" s="12" customFormat="1" ht="15" customHeight="1" x14ac:dyDescent="0.35">
      <c r="A22" s="206" t="s">
        <v>58</v>
      </c>
      <c r="B22" s="207"/>
      <c r="D22" s="200"/>
      <c r="E22" s="193"/>
      <c r="F22" s="208">
        <f>+D22-E22</f>
        <v>0</v>
      </c>
      <c r="G22" s="193"/>
      <c r="H22" s="200"/>
      <c r="I22" s="193"/>
      <c r="J22" s="192"/>
      <c r="K22" s="193"/>
      <c r="L22" s="188"/>
      <c r="M22" s="167"/>
      <c r="N22" s="167"/>
      <c r="O22" s="167"/>
    </row>
    <row r="23" spans="1:15" s="12" customFormat="1" ht="15" customHeight="1" x14ac:dyDescent="0.35">
      <c r="A23" s="206"/>
      <c r="B23" s="207"/>
      <c r="D23" s="200"/>
      <c r="E23" s="193"/>
      <c r="F23" s="192"/>
      <c r="G23" s="193"/>
      <c r="H23" s="200"/>
      <c r="I23" s="193"/>
      <c r="J23" s="192"/>
      <c r="K23" s="193"/>
      <c r="L23" s="188"/>
      <c r="M23" s="167"/>
      <c r="N23" s="167"/>
      <c r="O23" s="167"/>
    </row>
    <row r="24" spans="1:15" s="12" customFormat="1" ht="15" customHeight="1" x14ac:dyDescent="0.35">
      <c r="A24" s="209" t="s">
        <v>54</v>
      </c>
      <c r="B24" s="210"/>
      <c r="C24" s="211"/>
      <c r="D24" s="212" t="e">
        <f ca="1">SUM(D19:D23)</f>
        <v>#NAME?</v>
      </c>
      <c r="E24" s="213"/>
      <c r="F24" s="218" t="e">
        <f ca="1">SUM(F19:F23)</f>
        <v>#NAME?</v>
      </c>
      <c r="G24" s="213"/>
      <c r="H24" s="212" t="e">
        <f ca="1">SUM(H19:H23)</f>
        <v>#NAME?</v>
      </c>
      <c r="I24" s="213"/>
      <c r="J24" s="218" t="e">
        <f ca="1">SUM(J19:J23)</f>
        <v>#NAME?</v>
      </c>
      <c r="K24" s="213"/>
      <c r="L24" s="188"/>
      <c r="M24" s="167"/>
      <c r="N24" s="167"/>
      <c r="O24" s="167"/>
    </row>
    <row r="25" spans="1:15" s="12" customFormat="1" ht="15" customHeight="1" x14ac:dyDescent="0.35">
      <c r="A25" s="182"/>
      <c r="D25" s="200"/>
      <c r="E25" s="193"/>
      <c r="F25" s="192"/>
      <c r="G25" s="193"/>
      <c r="H25" s="200"/>
      <c r="I25" s="193"/>
      <c r="J25" s="192"/>
      <c r="K25" s="193"/>
      <c r="L25" s="188"/>
      <c r="M25" s="167"/>
      <c r="N25" s="167"/>
      <c r="O25" s="167"/>
    </row>
    <row r="26" spans="1:15" s="12" customFormat="1" ht="15" customHeight="1" x14ac:dyDescent="0.35">
      <c r="A26" s="206" t="s">
        <v>59</v>
      </c>
      <c r="B26" s="207"/>
      <c r="D26" s="200" t="e">
        <f ca="1">+SUMCPTF("681600","681699")</f>
        <v>#NAME?</v>
      </c>
      <c r="E26" s="193"/>
      <c r="F26" s="192" t="e">
        <f t="shared" ref="F26:F31" ca="1" si="0">+D26-E26</f>
        <v>#NAME?</v>
      </c>
      <c r="G26" s="193"/>
      <c r="H26" s="200" t="e">
        <f ca="1">+SUMCPTF("681600","681699",-1)</f>
        <v>#NAME?</v>
      </c>
      <c r="I26" s="193"/>
      <c r="J26" s="192" t="e">
        <f ca="1">+H26-I26</f>
        <v>#NAME?</v>
      </c>
      <c r="K26" s="193"/>
      <c r="L26" s="188" t="e">
        <f ca="1">LDESC("2052_GB")</f>
        <v>#NAME?</v>
      </c>
      <c r="M26" s="219" t="s">
        <v>60</v>
      </c>
      <c r="O26" s="167"/>
    </row>
    <row r="27" spans="1:15" s="12" customFormat="1" ht="15" customHeight="1" x14ac:dyDescent="0.35">
      <c r="A27" s="206" t="s">
        <v>61</v>
      </c>
      <c r="B27" s="207"/>
      <c r="D27" s="200" t="e">
        <f ca="1">+SUMCPTF("681500","681599")+SUMCPTF("689500","689599")+SUMCPTF("687500","687599")</f>
        <v>#NAME?</v>
      </c>
      <c r="E27" s="193"/>
      <c r="F27" s="192" t="e">
        <f t="shared" ca="1" si="0"/>
        <v>#NAME?</v>
      </c>
      <c r="G27" s="193"/>
      <c r="H27" s="200" t="e">
        <f ca="1">+SUMCPTF("681500","681599",-1)+SUMCPTF("689500","689599",-1)+SUMCPTF("687500","687599",-1)</f>
        <v>#NAME?</v>
      </c>
      <c r="I27" s="193"/>
      <c r="J27" s="192" t="e">
        <f ca="1">+H27-I27</f>
        <v>#NAME?</v>
      </c>
      <c r="K27" s="193"/>
      <c r="L27" s="188" t="e">
        <f ca="1">LDESC("2052_GD")</f>
        <v>#NAME?</v>
      </c>
      <c r="M27" s="167"/>
      <c r="N27" s="167"/>
      <c r="O27" s="167"/>
    </row>
    <row r="28" spans="1:15" s="12" customFormat="1" ht="15" customHeight="1" x14ac:dyDescent="0.35">
      <c r="A28" s="220" t="s">
        <v>62</v>
      </c>
      <c r="B28" s="210"/>
      <c r="D28" s="200" t="e">
        <f ca="1">+SUMCPTF("686500","686999")</f>
        <v>#NAME?</v>
      </c>
      <c r="E28" s="193"/>
      <c r="F28" s="192" t="e">
        <f t="shared" ca="1" si="0"/>
        <v>#NAME?</v>
      </c>
      <c r="G28" s="193"/>
      <c r="H28" s="200" t="e">
        <f ca="1">+SUMCPTF("686500","686999",-1)</f>
        <v>#NAME?</v>
      </c>
      <c r="I28" s="193"/>
      <c r="J28" s="192" t="e">
        <f ca="1">+H28-I28</f>
        <v>#NAME?</v>
      </c>
      <c r="K28" s="193"/>
      <c r="L28" s="188"/>
      <c r="M28" s="167"/>
      <c r="N28" s="167"/>
      <c r="O28" s="167"/>
    </row>
    <row r="29" spans="1:15" s="12" customFormat="1" ht="15" customHeight="1" x14ac:dyDescent="0.35">
      <c r="A29" s="206" t="s">
        <v>63</v>
      </c>
      <c r="B29" s="207"/>
      <c r="D29" s="200"/>
      <c r="E29" s="193"/>
      <c r="F29" s="192">
        <f t="shared" si="0"/>
        <v>0</v>
      </c>
      <c r="G29" s="193"/>
      <c r="H29" s="200"/>
      <c r="I29" s="193"/>
      <c r="J29" s="192"/>
      <c r="K29" s="193"/>
      <c r="L29" s="188"/>
      <c r="M29" s="167"/>
      <c r="N29" s="167"/>
      <c r="O29" s="167"/>
    </row>
    <row r="30" spans="1:15" s="12" customFormat="1" ht="15" customHeight="1" x14ac:dyDescent="0.35">
      <c r="A30" s="206" t="s">
        <v>64</v>
      </c>
      <c r="B30" s="207"/>
      <c r="C30" s="216"/>
      <c r="D30" s="221"/>
      <c r="E30" s="193"/>
      <c r="F30" s="208">
        <f t="shared" si="0"/>
        <v>0</v>
      </c>
      <c r="G30" s="217"/>
      <c r="H30" s="221"/>
      <c r="I30" s="193"/>
      <c r="J30" s="208">
        <f>+H30-I30</f>
        <v>0</v>
      </c>
      <c r="K30" s="217"/>
      <c r="L30" s="188"/>
      <c r="M30" s="167"/>
      <c r="N30" s="167"/>
      <c r="O30" s="167"/>
    </row>
    <row r="31" spans="1:15" s="12" customFormat="1" ht="15" customHeight="1" x14ac:dyDescent="0.35">
      <c r="A31" s="206" t="s">
        <v>58</v>
      </c>
      <c r="B31" s="207"/>
      <c r="D31" s="200"/>
      <c r="E31" s="193"/>
      <c r="F31" s="208">
        <f t="shared" si="0"/>
        <v>0</v>
      </c>
      <c r="G31" s="193"/>
      <c r="H31" s="200"/>
      <c r="I31" s="193"/>
      <c r="J31" s="192"/>
      <c r="K31" s="193"/>
      <c r="L31" s="188"/>
      <c r="M31" s="167"/>
      <c r="N31" s="167"/>
      <c r="O31" s="167"/>
    </row>
    <row r="32" spans="1:15" s="12" customFormat="1" ht="15" customHeight="1" x14ac:dyDescent="0.35">
      <c r="A32" s="206"/>
      <c r="B32" s="207"/>
      <c r="D32" s="200"/>
      <c r="E32" s="193"/>
      <c r="F32" s="192"/>
      <c r="G32" s="193"/>
      <c r="H32" s="200"/>
      <c r="I32" s="193"/>
      <c r="J32" s="192"/>
      <c r="K32" s="193"/>
      <c r="L32" s="188"/>
      <c r="M32" s="167"/>
      <c r="N32" s="167"/>
      <c r="O32" s="167"/>
    </row>
    <row r="33" spans="1:15" s="12" customFormat="1" ht="15" customHeight="1" x14ac:dyDescent="0.35">
      <c r="A33" s="222" t="s">
        <v>65</v>
      </c>
      <c r="B33" s="223"/>
      <c r="C33" s="211"/>
      <c r="D33" s="212" t="e">
        <f ca="1">SUM(D25:D32)</f>
        <v>#NAME?</v>
      </c>
      <c r="E33" s="224"/>
      <c r="F33" s="214" t="e">
        <f ca="1">SUM(F25:F32)</f>
        <v>#NAME?</v>
      </c>
      <c r="G33" s="213"/>
      <c r="H33" s="212" t="e">
        <f ca="1">SUM(H25:H32)</f>
        <v>#NAME?</v>
      </c>
      <c r="I33" s="224"/>
      <c r="J33" s="214" t="e">
        <f ca="1">SUM(J25:J32)</f>
        <v>#NAME?</v>
      </c>
      <c r="K33" s="213"/>
      <c r="L33" s="188"/>
      <c r="M33" s="167"/>
      <c r="N33" s="167"/>
      <c r="O33" s="167"/>
    </row>
    <row r="34" spans="1:15" s="12" customFormat="1" ht="15" customHeight="1" x14ac:dyDescent="0.35">
      <c r="A34" s="225"/>
      <c r="D34" s="200"/>
      <c r="E34" s="193"/>
      <c r="F34" s="192"/>
      <c r="G34" s="193"/>
      <c r="H34" s="200"/>
      <c r="I34" s="193"/>
      <c r="J34" s="192"/>
      <c r="K34" s="193"/>
      <c r="L34" s="188"/>
      <c r="M34" s="167"/>
      <c r="N34" s="167"/>
      <c r="O34" s="167"/>
    </row>
    <row r="35" spans="1:15" s="12" customFormat="1" ht="15" customHeight="1" x14ac:dyDescent="0.35">
      <c r="A35" s="206" t="s">
        <v>66</v>
      </c>
      <c r="B35" s="207"/>
      <c r="D35" s="200" t="e">
        <f ca="1">-SUMCPTF("781600","781699")</f>
        <v>#NAME?</v>
      </c>
      <c r="E35" s="193"/>
      <c r="F35" s="192" t="e">
        <f ca="1">+D35-E35</f>
        <v>#NAME?</v>
      </c>
      <c r="G35" s="193"/>
      <c r="H35" s="200" t="e">
        <f ca="1">-SUMCPTF("781600","781699",-1)</f>
        <v>#NAME?</v>
      </c>
      <c r="I35" s="193"/>
      <c r="J35" s="192" t="e">
        <f ca="1">+H35-I35</f>
        <v>#NAME?</v>
      </c>
      <c r="K35" s="193"/>
      <c r="L35" s="188"/>
      <c r="M35" s="167"/>
      <c r="N35" s="167"/>
      <c r="O35" s="167"/>
    </row>
    <row r="36" spans="1:15" s="12" customFormat="1" ht="15" customHeight="1" x14ac:dyDescent="0.35">
      <c r="A36" s="206" t="s">
        <v>67</v>
      </c>
      <c r="B36" s="207"/>
      <c r="D36" s="200" t="e">
        <f ca="1">-SUMCPTF("781500","781599")-SUMCPTF("789500","789599")-SUMCPTF("787500","787599")</f>
        <v>#NAME?</v>
      </c>
      <c r="E36" s="193"/>
      <c r="F36" s="192" t="e">
        <f ca="1">+D36-E36</f>
        <v>#NAME?</v>
      </c>
      <c r="G36" s="193"/>
      <c r="H36" s="200" t="e">
        <f ca="1">-SUMCPTF("781500","781599",-1)-SUMCPTF("789500","789599",-1)-SUMCPTF("787500","787599",-1)</f>
        <v>#NAME?</v>
      </c>
      <c r="I36" s="193"/>
      <c r="J36" s="192" t="e">
        <f ca="1">+H36-I36</f>
        <v>#NAME?</v>
      </c>
      <c r="K36" s="193"/>
      <c r="L36" s="188"/>
      <c r="M36" s="167"/>
      <c r="N36" s="167"/>
      <c r="O36" s="167"/>
    </row>
    <row r="37" spans="1:15" s="12" customFormat="1" ht="15" customHeight="1" x14ac:dyDescent="0.35">
      <c r="A37" s="220" t="s">
        <v>68</v>
      </c>
      <c r="B37" s="210"/>
      <c r="D37" s="200" t="e">
        <f ca="1">-SUMCPTF("786500","786699")</f>
        <v>#NAME?</v>
      </c>
      <c r="E37" s="193"/>
      <c r="F37" s="192" t="e">
        <f ca="1">+D37-E37</f>
        <v>#NAME?</v>
      </c>
      <c r="G37" s="193"/>
      <c r="H37" s="200" t="e">
        <f ca="1">-SUMCPTF("786500","786699",-1)</f>
        <v>#NAME?</v>
      </c>
      <c r="I37" s="193"/>
      <c r="J37" s="192" t="e">
        <f ca="1">+H37-I37</f>
        <v>#NAME?</v>
      </c>
      <c r="K37" s="193"/>
      <c r="L37" s="188"/>
      <c r="M37" s="167"/>
      <c r="N37" s="167"/>
      <c r="O37" s="167"/>
    </row>
    <row r="38" spans="1:15" s="12" customFormat="1" x14ac:dyDescent="0.35">
      <c r="A38" s="206" t="s">
        <v>57</v>
      </c>
      <c r="B38" s="207"/>
      <c r="D38" s="200"/>
      <c r="E38" s="193"/>
      <c r="F38" s="192">
        <f>+D38-E38</f>
        <v>0</v>
      </c>
      <c r="G38" s="193"/>
      <c r="H38" s="200"/>
      <c r="I38" s="193"/>
      <c r="J38" s="192">
        <f>+H38-I38</f>
        <v>0</v>
      </c>
      <c r="K38" s="193"/>
      <c r="L38" s="188"/>
      <c r="M38" s="167" t="s">
        <v>69</v>
      </c>
      <c r="N38" s="167"/>
      <c r="O38" s="167"/>
    </row>
    <row r="39" spans="1:15" s="12" customFormat="1" x14ac:dyDescent="0.35">
      <c r="A39" s="206" t="s">
        <v>70</v>
      </c>
      <c r="B39" s="207"/>
      <c r="D39" s="200"/>
      <c r="E39" s="193"/>
      <c r="F39" s="208">
        <f>+D39-E39</f>
        <v>0</v>
      </c>
      <c r="G39" s="193"/>
      <c r="H39" s="200"/>
      <c r="I39" s="193"/>
      <c r="J39" s="208">
        <f>+H39-I39</f>
        <v>0</v>
      </c>
      <c r="K39" s="193"/>
      <c r="L39" s="188"/>
      <c r="M39" s="167"/>
      <c r="N39" s="167"/>
      <c r="O39" s="167"/>
    </row>
    <row r="40" spans="1:15" s="12" customFormat="1" x14ac:dyDescent="0.35">
      <c r="A40" s="206"/>
      <c r="B40" s="207"/>
      <c r="D40" s="200"/>
      <c r="E40" s="193"/>
      <c r="F40" s="192"/>
      <c r="G40" s="193"/>
      <c r="H40" s="200"/>
      <c r="I40" s="193"/>
      <c r="J40" s="192"/>
      <c r="K40" s="193"/>
      <c r="L40" s="188"/>
      <c r="M40" s="167"/>
      <c r="N40" s="167"/>
      <c r="O40" s="167"/>
    </row>
    <row r="41" spans="1:15" s="12" customFormat="1" x14ac:dyDescent="0.35">
      <c r="A41" s="222" t="s">
        <v>71</v>
      </c>
      <c r="B41" s="223"/>
      <c r="C41" s="211"/>
      <c r="D41" s="212" t="e">
        <f ca="1">SUM(D34:D40)</f>
        <v>#NAME?</v>
      </c>
      <c r="E41" s="224"/>
      <c r="F41" s="214" t="e">
        <f ca="1">SUM(F34:F40)</f>
        <v>#NAME?</v>
      </c>
      <c r="G41" s="213"/>
      <c r="H41" s="212" t="e">
        <f ca="1">SUM(H34:H40)</f>
        <v>#NAME?</v>
      </c>
      <c r="I41" s="224"/>
      <c r="J41" s="214" t="e">
        <f ca="1">SUM(J34:J40)</f>
        <v>#NAME?</v>
      </c>
      <c r="K41" s="213"/>
      <c r="L41" s="188"/>
      <c r="M41" s="167"/>
      <c r="N41" s="167"/>
      <c r="O41" s="167"/>
    </row>
    <row r="42" spans="1:15" s="12" customFormat="1" x14ac:dyDescent="0.35">
      <c r="A42" s="206"/>
      <c r="B42" s="207"/>
      <c r="D42" s="200"/>
      <c r="E42" s="193"/>
      <c r="F42" s="192"/>
      <c r="G42" s="193"/>
      <c r="H42" s="200"/>
      <c r="I42" s="193"/>
      <c r="J42" s="192"/>
      <c r="K42" s="193"/>
      <c r="L42" s="188"/>
      <c r="M42" s="167"/>
      <c r="N42" s="167"/>
      <c r="O42" s="167"/>
    </row>
    <row r="43" spans="1:15" s="12" customFormat="1" x14ac:dyDescent="0.35">
      <c r="A43" s="209" t="s">
        <v>72</v>
      </c>
      <c r="B43" s="210"/>
      <c r="C43" s="211"/>
      <c r="D43" s="212" t="e">
        <f ca="1">+D33-D41</f>
        <v>#NAME?</v>
      </c>
      <c r="E43" s="213"/>
      <c r="F43" s="214" t="e">
        <f ca="1">+F33-F41</f>
        <v>#NAME?</v>
      </c>
      <c r="G43" s="213"/>
      <c r="H43" s="212" t="e">
        <f ca="1">+H33-H41</f>
        <v>#NAME?</v>
      </c>
      <c r="I43" s="213"/>
      <c r="J43" s="214" t="e">
        <f ca="1">+J33-J41</f>
        <v>#NAME?</v>
      </c>
      <c r="K43" s="213"/>
      <c r="L43" s="188"/>
      <c r="M43" s="167"/>
      <c r="N43" s="167"/>
      <c r="O43" s="167"/>
    </row>
    <row r="44" spans="1:15" s="12" customFormat="1" x14ac:dyDescent="0.35">
      <c r="A44" s="206"/>
      <c r="B44" s="207"/>
      <c r="D44" s="200"/>
      <c r="E44" s="193"/>
      <c r="F44" s="192"/>
      <c r="G44" s="193"/>
      <c r="H44" s="200"/>
      <c r="I44" s="193"/>
      <c r="J44" s="192"/>
      <c r="K44" s="193"/>
      <c r="L44" s="188"/>
      <c r="M44" s="167"/>
      <c r="N44" s="167"/>
      <c r="O44" s="167"/>
    </row>
    <row r="45" spans="1:15" s="12" customFormat="1" x14ac:dyDescent="0.35">
      <c r="A45" s="199" t="s">
        <v>73</v>
      </c>
      <c r="B45" s="190"/>
      <c r="C45" s="226"/>
      <c r="D45" s="227" t="e">
        <f ca="1">+D33+D17-D41-D24</f>
        <v>#NAME?</v>
      </c>
      <c r="E45" s="213"/>
      <c r="F45" s="228" t="e">
        <f ca="1">+F33+F17-F41-F24</f>
        <v>#NAME?</v>
      </c>
      <c r="G45" s="229"/>
      <c r="H45" s="227" t="e">
        <f ca="1">+H33+H17-H41-H24</f>
        <v>#NAME?</v>
      </c>
      <c r="I45" s="213"/>
      <c r="J45" s="228" t="e">
        <f ca="1">+J33+J17-J41-J24</f>
        <v>#NAME?</v>
      </c>
      <c r="K45" s="229"/>
      <c r="L45" s="188"/>
      <c r="M45" s="167"/>
      <c r="N45" s="167"/>
      <c r="O45" s="167"/>
    </row>
    <row r="46" spans="1:15" s="12" customFormat="1" ht="15" thickBot="1" x14ac:dyDescent="0.4">
      <c r="A46" s="199"/>
      <c r="B46" s="190"/>
      <c r="D46" s="200"/>
      <c r="E46" s="193"/>
      <c r="F46" s="192"/>
      <c r="G46" s="193"/>
      <c r="H46" s="200"/>
      <c r="I46" s="193"/>
      <c r="J46" s="192"/>
      <c r="K46" s="193"/>
      <c r="L46" s="188"/>
      <c r="M46" s="167"/>
      <c r="N46" s="167"/>
      <c r="O46" s="167"/>
    </row>
    <row r="47" spans="1:15" s="12" customFormat="1" ht="15" thickTop="1" x14ac:dyDescent="0.35">
      <c r="A47" s="230"/>
      <c r="B47" s="231"/>
      <c r="D47" s="196"/>
      <c r="E47" s="197"/>
      <c r="F47" s="198"/>
      <c r="G47" s="193"/>
      <c r="H47" s="196"/>
      <c r="I47" s="197"/>
      <c r="J47" s="198"/>
      <c r="K47" s="193"/>
      <c r="L47" s="188"/>
      <c r="M47" s="167"/>
      <c r="N47" s="167"/>
      <c r="O47" s="167"/>
    </row>
    <row r="48" spans="1:15" s="12" customFormat="1" x14ac:dyDescent="0.35">
      <c r="A48" s="232" t="s">
        <v>74</v>
      </c>
      <c r="B48" s="207">
        <v>777</v>
      </c>
      <c r="D48" s="233" t="e">
        <f ca="1">-SUMCPT(#REF!)</f>
        <v>#NAME?</v>
      </c>
      <c r="E48" s="193"/>
      <c r="F48" s="192" t="e">
        <f ca="1">+D48-E48</f>
        <v>#NAME?</v>
      </c>
      <c r="G48" s="193"/>
      <c r="H48" s="233" t="e">
        <f ca="1">-SUMCPT(#REF!,-1)</f>
        <v>#NAME?</v>
      </c>
      <c r="I48" s="193"/>
      <c r="J48" s="192" t="e">
        <f ca="1">+H48-I48</f>
        <v>#NAME?</v>
      </c>
      <c r="K48" s="193"/>
      <c r="L48" s="188"/>
      <c r="M48" s="167"/>
      <c r="N48" s="167"/>
      <c r="O48" s="167"/>
    </row>
    <row r="49" spans="1:15" s="12" customFormat="1" x14ac:dyDescent="0.35">
      <c r="A49" s="206" t="s">
        <v>53</v>
      </c>
      <c r="B49" s="207"/>
      <c r="D49" s="200"/>
      <c r="E49" s="193"/>
      <c r="F49" s="208">
        <f>+D49-E49</f>
        <v>0</v>
      </c>
      <c r="G49" s="193"/>
      <c r="H49" s="200"/>
      <c r="I49" s="193"/>
      <c r="J49" s="208">
        <f>+H49-I49</f>
        <v>0</v>
      </c>
      <c r="K49" s="193"/>
      <c r="L49" s="188"/>
      <c r="M49" s="167"/>
      <c r="N49" s="167"/>
      <c r="O49" s="167"/>
    </row>
    <row r="50" spans="1:15" s="12" customFormat="1" ht="3" customHeight="1" x14ac:dyDescent="0.35">
      <c r="A50" s="206"/>
      <c r="B50" s="207"/>
      <c r="D50" s="200"/>
      <c r="E50" s="193"/>
      <c r="F50" s="192"/>
      <c r="G50" s="193"/>
      <c r="H50" s="200"/>
      <c r="I50" s="193"/>
      <c r="J50" s="192"/>
      <c r="K50" s="193"/>
      <c r="L50" s="188"/>
      <c r="M50" s="167"/>
      <c r="N50" s="167"/>
      <c r="O50" s="167"/>
    </row>
    <row r="51" spans="1:15" s="12" customFormat="1" x14ac:dyDescent="0.35">
      <c r="A51" s="199" t="s">
        <v>75</v>
      </c>
      <c r="B51" s="190"/>
      <c r="C51" s="234"/>
      <c r="D51" s="235" t="e">
        <f ca="1">SUM(D48:D49)</f>
        <v>#NAME?</v>
      </c>
      <c r="E51" s="193"/>
      <c r="F51" s="236" t="e">
        <f ca="1">SUM(F48:F49)</f>
        <v>#NAME?</v>
      </c>
      <c r="G51" s="237"/>
      <c r="H51" s="235" t="e">
        <f ca="1">SUM(H48:H49)</f>
        <v>#NAME?</v>
      </c>
      <c r="I51" s="193"/>
      <c r="J51" s="236" t="e">
        <f ca="1">SUM(J48:J49)</f>
        <v>#NAME?</v>
      </c>
      <c r="K51" s="237"/>
      <c r="L51" s="188"/>
      <c r="M51" s="167"/>
      <c r="N51" s="167"/>
      <c r="O51" s="167"/>
    </row>
    <row r="52" spans="1:15" s="12" customFormat="1" ht="15" thickBot="1" x14ac:dyDescent="0.4">
      <c r="A52" s="189"/>
      <c r="B52" s="238"/>
      <c r="D52" s="203"/>
      <c r="E52" s="204"/>
      <c r="F52" s="205"/>
      <c r="G52" s="193"/>
      <c r="H52" s="203"/>
      <c r="I52" s="204"/>
      <c r="J52" s="205"/>
      <c r="K52" s="193"/>
      <c r="L52" s="188"/>
      <c r="M52" s="167"/>
      <c r="N52" s="167"/>
      <c r="O52" s="167"/>
    </row>
    <row r="53" spans="1:15" s="12" customFormat="1" ht="15" thickTop="1" x14ac:dyDescent="0.35">
      <c r="A53" s="230"/>
      <c r="B53" s="231"/>
      <c r="D53" s="196"/>
      <c r="E53" s="197"/>
      <c r="F53" s="198"/>
      <c r="G53" s="193"/>
      <c r="H53" s="196"/>
      <c r="I53" s="197"/>
      <c r="J53" s="198"/>
      <c r="K53" s="193"/>
      <c r="L53" s="188"/>
      <c r="M53" s="167"/>
      <c r="N53" s="167"/>
      <c r="O53" s="167"/>
    </row>
    <row r="54" spans="1:15" s="12" customFormat="1" x14ac:dyDescent="0.35">
      <c r="A54" s="232" t="s">
        <v>74</v>
      </c>
      <c r="B54" s="207">
        <v>756</v>
      </c>
      <c r="D54" s="233" t="e">
        <f t="shared" ref="D54:D59" ca="1" si="1">-SUMCPT(B54)</f>
        <v>#NAME?</v>
      </c>
      <c r="E54" s="193"/>
      <c r="F54" s="192" t="e">
        <f t="shared" ref="F54:F60" ca="1" si="2">+D54-E54</f>
        <v>#NAME?</v>
      </c>
      <c r="G54" s="193"/>
      <c r="H54" s="233" t="e">
        <f ca="1">-SUMCPT(A54,-1,-1)</f>
        <v>#NAME?</v>
      </c>
      <c r="I54" s="193"/>
      <c r="J54" s="192" t="e">
        <f t="shared" ref="J54:J60" ca="1" si="3">+H54-I54</f>
        <v>#NAME?</v>
      </c>
      <c r="K54" s="193"/>
      <c r="L54" s="188"/>
      <c r="M54" s="167"/>
      <c r="N54" s="167"/>
      <c r="O54" s="167"/>
    </row>
    <row r="55" spans="1:15" s="12" customFormat="1" x14ac:dyDescent="0.35">
      <c r="A55" s="239" t="s">
        <v>76</v>
      </c>
      <c r="B55" s="240">
        <v>756000</v>
      </c>
      <c r="C55" s="241"/>
      <c r="D55" s="242" t="e">
        <f ca="1">SUMCPT(B55)</f>
        <v>#NAME?</v>
      </c>
      <c r="E55" s="243"/>
      <c r="F55" s="244" t="e">
        <f t="shared" ca="1" si="2"/>
        <v>#NAME?</v>
      </c>
      <c r="G55" s="243"/>
      <c r="H55" s="242" t="e">
        <f ca="1">SUMCPT(A55,-1)</f>
        <v>#NAME?</v>
      </c>
      <c r="I55" s="243"/>
      <c r="J55" s="244" t="e">
        <f t="shared" ca="1" si="3"/>
        <v>#NAME?</v>
      </c>
      <c r="K55" s="243"/>
      <c r="L55" s="245" t="s">
        <v>77</v>
      </c>
      <c r="M55" s="167"/>
      <c r="N55" s="167"/>
      <c r="O55" s="167"/>
    </row>
    <row r="56" spans="1:15" s="12" customFormat="1" x14ac:dyDescent="0.35">
      <c r="A56" s="232" t="s">
        <v>74</v>
      </c>
      <c r="B56" s="207">
        <v>7751</v>
      </c>
      <c r="D56" s="233" t="e">
        <f t="shared" ca="1" si="1"/>
        <v>#NAME?</v>
      </c>
      <c r="E56" s="193"/>
      <c r="F56" s="192" t="e">
        <f t="shared" ca="1" si="2"/>
        <v>#NAME?</v>
      </c>
      <c r="G56" s="193"/>
      <c r="H56" s="233" t="e">
        <f ca="1">-SUMCPT(A56,-1)</f>
        <v>#NAME?</v>
      </c>
      <c r="I56" s="193"/>
      <c r="J56" s="192" t="e">
        <f t="shared" ca="1" si="3"/>
        <v>#NAME?</v>
      </c>
      <c r="K56" s="193"/>
      <c r="L56" s="188"/>
      <c r="M56" s="167"/>
      <c r="N56" s="167"/>
      <c r="O56" s="167"/>
    </row>
    <row r="57" spans="1:15" s="12" customFormat="1" x14ac:dyDescent="0.35">
      <c r="A57" s="232" t="s">
        <v>74</v>
      </c>
      <c r="B57" s="207">
        <v>7752</v>
      </c>
      <c r="D57" s="233" t="e">
        <f t="shared" ca="1" si="1"/>
        <v>#NAME?</v>
      </c>
      <c r="E57" s="193"/>
      <c r="F57" s="192" t="e">
        <f t="shared" ca="1" si="2"/>
        <v>#NAME?</v>
      </c>
      <c r="G57" s="193"/>
      <c r="H57" s="233" t="e">
        <f ca="1">-SUMCPT(A57,-1)</f>
        <v>#NAME?</v>
      </c>
      <c r="I57" s="193"/>
      <c r="J57" s="192" t="e">
        <f t="shared" ca="1" si="3"/>
        <v>#NAME?</v>
      </c>
      <c r="K57" s="193"/>
      <c r="L57" s="188"/>
      <c r="M57" s="167"/>
      <c r="N57" s="167"/>
      <c r="O57" s="167"/>
    </row>
    <row r="58" spans="1:15" s="12" customFormat="1" x14ac:dyDescent="0.35">
      <c r="A58" s="232" t="s">
        <v>74</v>
      </c>
      <c r="B58" s="207">
        <v>7756</v>
      </c>
      <c r="D58" s="233" t="e">
        <f t="shared" ca="1" si="1"/>
        <v>#NAME?</v>
      </c>
      <c r="E58" s="193"/>
      <c r="F58" s="192" t="e">
        <f t="shared" ca="1" si="2"/>
        <v>#NAME?</v>
      </c>
      <c r="G58" s="193"/>
      <c r="H58" s="233" t="e">
        <f ca="1">-SUMCPT(A58,-1)</f>
        <v>#NAME?</v>
      </c>
      <c r="I58" s="193"/>
      <c r="J58" s="192" t="e">
        <f t="shared" ca="1" si="3"/>
        <v>#NAME?</v>
      </c>
      <c r="K58" s="193"/>
      <c r="L58" s="188"/>
      <c r="M58" s="167"/>
      <c r="N58" s="167"/>
      <c r="O58" s="167"/>
    </row>
    <row r="59" spans="1:15" s="12" customFormat="1" x14ac:dyDescent="0.35">
      <c r="A59" s="232" t="s">
        <v>74</v>
      </c>
      <c r="B59" s="207">
        <v>7758</v>
      </c>
      <c r="D59" s="233" t="e">
        <f t="shared" ca="1" si="1"/>
        <v>#NAME?</v>
      </c>
      <c r="E59" s="193"/>
      <c r="F59" s="192" t="e">
        <f t="shared" ca="1" si="2"/>
        <v>#NAME?</v>
      </c>
      <c r="G59" s="193"/>
      <c r="H59" s="233" t="e">
        <f ca="1">-SUMCPT(A59,-1)</f>
        <v>#NAME?</v>
      </c>
      <c r="I59" s="193"/>
      <c r="J59" s="192" t="e">
        <f t="shared" ca="1" si="3"/>
        <v>#NAME?</v>
      </c>
      <c r="K59" s="193"/>
      <c r="L59" s="188"/>
      <c r="M59" s="167"/>
      <c r="N59" s="167"/>
      <c r="O59" s="167"/>
    </row>
    <row r="60" spans="1:15" s="12" customFormat="1" x14ac:dyDescent="0.35">
      <c r="A60" s="206" t="s">
        <v>53</v>
      </c>
      <c r="B60" s="207"/>
      <c r="D60" s="233"/>
      <c r="E60" s="193"/>
      <c r="F60" s="208">
        <f t="shared" si="2"/>
        <v>0</v>
      </c>
      <c r="G60" s="193"/>
      <c r="H60" s="233"/>
      <c r="I60" s="193"/>
      <c r="J60" s="208">
        <f t="shared" si="3"/>
        <v>0</v>
      </c>
      <c r="K60" s="193"/>
      <c r="L60" s="188"/>
      <c r="M60" s="167"/>
      <c r="N60" s="167"/>
      <c r="O60" s="167"/>
    </row>
    <row r="61" spans="1:15" s="12" customFormat="1" ht="3" customHeight="1" x14ac:dyDescent="0.35">
      <c r="A61" s="206"/>
      <c r="B61" s="207"/>
      <c r="D61" s="233"/>
      <c r="E61" s="193"/>
      <c r="F61" s="192"/>
      <c r="G61" s="193"/>
      <c r="H61" s="233"/>
      <c r="I61" s="193"/>
      <c r="J61" s="192"/>
      <c r="K61" s="193"/>
      <c r="L61" s="188"/>
      <c r="M61" s="167"/>
      <c r="N61" s="167"/>
      <c r="O61" s="167"/>
    </row>
    <row r="62" spans="1:15" s="12" customFormat="1" x14ac:dyDescent="0.35">
      <c r="A62" s="206" t="s">
        <v>78</v>
      </c>
      <c r="B62" s="207"/>
      <c r="D62" s="200" t="e">
        <f ca="1">SUM(D54:D61)</f>
        <v>#NAME?</v>
      </c>
      <c r="E62" s="193"/>
      <c r="F62" s="192" t="e">
        <f ca="1">SUM(F54:F61)</f>
        <v>#NAME?</v>
      </c>
      <c r="G62" s="193"/>
      <c r="H62" s="200" t="e">
        <f ca="1">SUM(H54:H61)</f>
        <v>#NAME?</v>
      </c>
      <c r="I62" s="193"/>
      <c r="J62" s="192" t="e">
        <f ca="1">SUM(J54:J61)</f>
        <v>#NAME?</v>
      </c>
      <c r="K62" s="193"/>
      <c r="L62" s="188" t="s">
        <v>79</v>
      </c>
      <c r="M62" s="167"/>
      <c r="N62" s="167"/>
      <c r="O62" s="167"/>
    </row>
    <row r="63" spans="1:15" s="12" customFormat="1" x14ac:dyDescent="0.35">
      <c r="A63" s="206"/>
      <c r="B63" s="207"/>
      <c r="D63" s="246"/>
      <c r="E63" s="193"/>
      <c r="F63" s="192"/>
      <c r="G63" s="193"/>
      <c r="H63" s="246"/>
      <c r="I63" s="193"/>
      <c r="J63" s="192"/>
      <c r="K63" s="193"/>
      <c r="L63" s="188"/>
      <c r="M63" s="167"/>
      <c r="N63" s="167"/>
      <c r="O63" s="167"/>
    </row>
    <row r="64" spans="1:15" s="12" customFormat="1" x14ac:dyDescent="0.35">
      <c r="A64" s="232" t="s">
        <v>74</v>
      </c>
      <c r="B64" s="207">
        <v>656</v>
      </c>
      <c r="D64" s="233" t="e">
        <f t="shared" ref="D64:D69" ca="1" si="4">-SUMCPT(B64)</f>
        <v>#NAME?</v>
      </c>
      <c r="E64" s="193"/>
      <c r="F64" s="192" t="e">
        <f t="shared" ref="F64:F70" ca="1" si="5">+D64-E64</f>
        <v>#NAME?</v>
      </c>
      <c r="G64" s="193"/>
      <c r="H64" s="233" t="e">
        <f ca="1">-SUMCPT(A64,-1)</f>
        <v>#NAME?</v>
      </c>
      <c r="I64" s="193"/>
      <c r="J64" s="192" t="e">
        <f t="shared" ref="J64:J70" ca="1" si="6">+H64-I64</f>
        <v>#NAME?</v>
      </c>
      <c r="K64" s="193"/>
      <c r="L64" s="188"/>
      <c r="M64" s="167"/>
      <c r="N64" s="167"/>
      <c r="O64" s="167"/>
    </row>
    <row r="65" spans="1:15" s="12" customFormat="1" x14ac:dyDescent="0.35">
      <c r="A65" s="239" t="s">
        <v>76</v>
      </c>
      <c r="B65" s="240">
        <v>656000</v>
      </c>
      <c r="C65" s="241"/>
      <c r="D65" s="242" t="e">
        <f ca="1">SUMCPT(B65)</f>
        <v>#NAME?</v>
      </c>
      <c r="E65" s="243"/>
      <c r="F65" s="244" t="e">
        <f t="shared" ca="1" si="5"/>
        <v>#NAME?</v>
      </c>
      <c r="G65" s="243"/>
      <c r="H65" s="242" t="e">
        <f ca="1">SUMCPT(A65,-1)</f>
        <v>#NAME?</v>
      </c>
      <c r="I65" s="243"/>
      <c r="J65" s="244" t="e">
        <f t="shared" ca="1" si="6"/>
        <v>#NAME?</v>
      </c>
      <c r="K65" s="243"/>
      <c r="L65" s="245" t="s">
        <v>77</v>
      </c>
      <c r="M65" s="167"/>
      <c r="N65" s="167"/>
      <c r="O65" s="167"/>
    </row>
    <row r="66" spans="1:15" s="12" customFormat="1" x14ac:dyDescent="0.35">
      <c r="A66" s="232" t="s">
        <v>74</v>
      </c>
      <c r="B66" s="207">
        <v>6751</v>
      </c>
      <c r="D66" s="233" t="e">
        <f t="shared" ca="1" si="4"/>
        <v>#NAME?</v>
      </c>
      <c r="E66" s="193"/>
      <c r="F66" s="192" t="e">
        <f t="shared" ca="1" si="5"/>
        <v>#NAME?</v>
      </c>
      <c r="G66" s="193"/>
      <c r="H66" s="233" t="e">
        <f ca="1">-SUMCPT(A66,-1)</f>
        <v>#NAME?</v>
      </c>
      <c r="I66" s="193"/>
      <c r="J66" s="192" t="e">
        <f t="shared" ca="1" si="6"/>
        <v>#NAME?</v>
      </c>
      <c r="K66" s="193"/>
      <c r="L66" s="188"/>
      <c r="M66" s="167"/>
      <c r="N66" s="167"/>
      <c r="O66" s="167"/>
    </row>
    <row r="67" spans="1:15" s="12" customFormat="1" x14ac:dyDescent="0.35">
      <c r="A67" s="232" t="s">
        <v>74</v>
      </c>
      <c r="B67" s="207">
        <v>6752</v>
      </c>
      <c r="D67" s="233" t="e">
        <f t="shared" ca="1" si="4"/>
        <v>#NAME?</v>
      </c>
      <c r="E67" s="193"/>
      <c r="F67" s="192" t="e">
        <f t="shared" ca="1" si="5"/>
        <v>#NAME?</v>
      </c>
      <c r="G67" s="193"/>
      <c r="H67" s="233" t="e">
        <f ca="1">-SUMCPT(A67,-1)</f>
        <v>#NAME?</v>
      </c>
      <c r="I67" s="193"/>
      <c r="J67" s="192" t="e">
        <f t="shared" ca="1" si="6"/>
        <v>#NAME?</v>
      </c>
      <c r="K67" s="193"/>
      <c r="L67" s="188"/>
      <c r="M67" s="167"/>
      <c r="N67" s="167"/>
      <c r="O67" s="167"/>
    </row>
    <row r="68" spans="1:15" s="12" customFormat="1" x14ac:dyDescent="0.35">
      <c r="A68" s="232" t="s">
        <v>74</v>
      </c>
      <c r="B68" s="207">
        <v>6756</v>
      </c>
      <c r="D68" s="233" t="e">
        <f t="shared" ca="1" si="4"/>
        <v>#NAME?</v>
      </c>
      <c r="E68" s="193"/>
      <c r="F68" s="192" t="e">
        <f t="shared" ca="1" si="5"/>
        <v>#NAME?</v>
      </c>
      <c r="G68" s="193"/>
      <c r="H68" s="233" t="e">
        <f ca="1">-SUMCPT(A68,-1)</f>
        <v>#NAME?</v>
      </c>
      <c r="I68" s="193"/>
      <c r="J68" s="192" t="e">
        <f t="shared" ca="1" si="6"/>
        <v>#NAME?</v>
      </c>
      <c r="K68" s="193"/>
      <c r="L68" s="188"/>
      <c r="M68" s="167"/>
      <c r="N68" s="167"/>
      <c r="O68" s="167"/>
    </row>
    <row r="69" spans="1:15" s="12" customFormat="1" x14ac:dyDescent="0.35">
      <c r="A69" s="232" t="s">
        <v>74</v>
      </c>
      <c r="B69" s="207">
        <v>6758</v>
      </c>
      <c r="D69" s="233" t="e">
        <f t="shared" ca="1" si="4"/>
        <v>#NAME?</v>
      </c>
      <c r="E69" s="193"/>
      <c r="F69" s="192" t="e">
        <f t="shared" ca="1" si="5"/>
        <v>#NAME?</v>
      </c>
      <c r="G69" s="193"/>
      <c r="H69" s="233" t="e">
        <f ca="1">-SUMCPT(A69,-1)</f>
        <v>#NAME?</v>
      </c>
      <c r="I69" s="193"/>
      <c r="J69" s="192" t="e">
        <f t="shared" ca="1" si="6"/>
        <v>#NAME?</v>
      </c>
      <c r="K69" s="193"/>
      <c r="L69" s="188"/>
      <c r="M69" s="167"/>
      <c r="N69" s="167"/>
      <c r="O69" s="167"/>
    </row>
    <row r="70" spans="1:15" s="12" customFormat="1" x14ac:dyDescent="0.35">
      <c r="A70" s="206" t="s">
        <v>53</v>
      </c>
      <c r="B70" s="207"/>
      <c r="D70" s="233"/>
      <c r="E70" s="193"/>
      <c r="F70" s="208">
        <f t="shared" si="5"/>
        <v>0</v>
      </c>
      <c r="G70" s="193"/>
      <c r="H70" s="233"/>
      <c r="I70" s="193"/>
      <c r="J70" s="208">
        <f t="shared" si="6"/>
        <v>0</v>
      </c>
      <c r="K70" s="193"/>
      <c r="L70" s="188"/>
      <c r="M70" s="167"/>
      <c r="N70" s="167"/>
      <c r="O70" s="167"/>
    </row>
    <row r="71" spans="1:15" s="12" customFormat="1" x14ac:dyDescent="0.35">
      <c r="A71" s="206"/>
      <c r="B71" s="207"/>
      <c r="D71" s="233"/>
      <c r="E71" s="193"/>
      <c r="F71" s="192"/>
      <c r="G71" s="193"/>
      <c r="H71" s="233"/>
      <c r="I71" s="193"/>
      <c r="J71" s="192"/>
      <c r="K71" s="193"/>
      <c r="L71" s="188"/>
      <c r="M71" s="167"/>
      <c r="N71" s="167"/>
      <c r="O71" s="167"/>
    </row>
    <row r="72" spans="1:15" s="12" customFormat="1" x14ac:dyDescent="0.35">
      <c r="A72" s="206" t="s">
        <v>80</v>
      </c>
      <c r="B72" s="207"/>
      <c r="D72" s="200" t="e">
        <f ca="1">SUM(D64:D71)</f>
        <v>#NAME?</v>
      </c>
      <c r="E72" s="193"/>
      <c r="F72" s="192" t="e">
        <f ca="1">SUM(F64:F71)</f>
        <v>#NAME?</v>
      </c>
      <c r="G72" s="193"/>
      <c r="H72" s="200" t="e">
        <f ca="1">SUM(H64:H71)</f>
        <v>#NAME?</v>
      </c>
      <c r="I72" s="193"/>
      <c r="J72" s="192" t="e">
        <f ca="1">SUM(J64:J71)</f>
        <v>#NAME?</v>
      </c>
      <c r="K72" s="193"/>
      <c r="L72" s="188" t="s">
        <v>81</v>
      </c>
      <c r="M72" s="167"/>
      <c r="N72" s="167"/>
      <c r="O72" s="167"/>
    </row>
    <row r="73" spans="1:15" s="12" customFormat="1" x14ac:dyDescent="0.35">
      <c r="A73" s="206"/>
      <c r="B73" s="207"/>
      <c r="D73" s="200"/>
      <c r="E73" s="193"/>
      <c r="F73" s="192"/>
      <c r="G73" s="193"/>
      <c r="H73" s="200"/>
      <c r="I73" s="193"/>
      <c r="J73" s="192"/>
      <c r="K73" s="193"/>
      <c r="L73" s="188"/>
      <c r="M73" s="167"/>
      <c r="N73" s="167"/>
      <c r="O73" s="167"/>
    </row>
    <row r="74" spans="1:15" s="12" customFormat="1" x14ac:dyDescent="0.35">
      <c r="A74" s="199" t="s">
        <v>82</v>
      </c>
      <c r="B74" s="190"/>
      <c r="C74" s="211"/>
      <c r="D74" s="212" t="e">
        <f ca="1">+D62+D72</f>
        <v>#NAME?</v>
      </c>
      <c r="E74" s="213"/>
      <c r="F74" s="214" t="e">
        <f ca="1">+F62+F72</f>
        <v>#NAME?</v>
      </c>
      <c r="G74" s="213"/>
      <c r="H74" s="212" t="e">
        <f ca="1">+H62+H72</f>
        <v>#NAME?</v>
      </c>
      <c r="I74" s="213"/>
      <c r="J74" s="214" t="e">
        <f ca="1">+J62+J72</f>
        <v>#NAME?</v>
      </c>
      <c r="K74" s="213"/>
      <c r="L74" s="188"/>
      <c r="M74" s="167"/>
      <c r="N74" s="167"/>
      <c r="O74" s="167"/>
    </row>
    <row r="75" spans="1:15" s="12" customFormat="1" ht="15" thickBot="1" x14ac:dyDescent="0.4">
      <c r="A75" s="189"/>
      <c r="B75" s="238"/>
      <c r="D75" s="203"/>
      <c r="E75" s="204"/>
      <c r="F75" s="205"/>
      <c r="G75" s="193"/>
      <c r="H75" s="203"/>
      <c r="I75" s="204"/>
      <c r="J75" s="205"/>
      <c r="K75" s="193"/>
      <c r="L75" s="188"/>
      <c r="M75" s="167"/>
      <c r="N75" s="167"/>
      <c r="O75" s="167"/>
    </row>
    <row r="76" spans="1:15" s="12" customFormat="1" ht="15" thickTop="1" x14ac:dyDescent="0.35">
      <c r="A76" s="230"/>
      <c r="B76" s="231"/>
      <c r="D76" s="196"/>
      <c r="E76" s="197"/>
      <c r="F76" s="198"/>
      <c r="G76" s="193"/>
      <c r="H76" s="196"/>
      <c r="I76" s="197"/>
      <c r="J76" s="198"/>
      <c r="K76" s="193"/>
      <c r="L76" s="188"/>
      <c r="M76" s="167"/>
      <c r="N76" s="167"/>
      <c r="O76" s="167"/>
    </row>
    <row r="77" spans="1:15" s="12" customFormat="1" x14ac:dyDescent="0.35">
      <c r="A77" s="247" t="s">
        <v>83</v>
      </c>
      <c r="B77" s="207"/>
      <c r="C77" s="248"/>
      <c r="D77" s="200"/>
      <c r="E77" s="193"/>
      <c r="F77" s="249" t="e">
        <f ca="1">+F8-F9+F45+F51-F74</f>
        <v>#NAME?</v>
      </c>
      <c r="G77" s="250"/>
      <c r="H77" s="200"/>
      <c r="I77" s="193"/>
      <c r="J77" s="249" t="e">
        <f ca="1">+J8-J9+J45+J51-J74</f>
        <v>#NAME?</v>
      </c>
      <c r="K77" s="250"/>
      <c r="L77" s="188"/>
      <c r="M77" s="167"/>
      <c r="N77" s="167"/>
      <c r="O77" s="167"/>
    </row>
    <row r="78" spans="1:15" s="12" customFormat="1" ht="15" thickBot="1" x14ac:dyDescent="0.4">
      <c r="A78" s="189"/>
      <c r="B78" s="238"/>
      <c r="D78" s="203"/>
      <c r="E78" s="204"/>
      <c r="F78" s="205"/>
      <c r="G78" s="193"/>
      <c r="H78" s="203"/>
      <c r="I78" s="204"/>
      <c r="J78" s="205"/>
      <c r="K78" s="193"/>
      <c r="L78" s="188"/>
      <c r="M78" s="167"/>
      <c r="N78" s="167"/>
      <c r="O78" s="167"/>
    </row>
    <row r="79" spans="1:15" s="12" customFormat="1" ht="29.5" thickTop="1" x14ac:dyDescent="0.35">
      <c r="A79" s="251" t="s">
        <v>84</v>
      </c>
      <c r="B79" s="231"/>
      <c r="D79" s="196"/>
      <c r="E79" s="197"/>
      <c r="F79" s="198"/>
      <c r="G79" s="193"/>
      <c r="H79" s="196"/>
      <c r="I79" s="197"/>
      <c r="J79" s="198"/>
      <c r="K79" s="193"/>
      <c r="L79" s="188"/>
      <c r="M79" s="167"/>
      <c r="N79" s="167"/>
      <c r="O79" s="167"/>
    </row>
    <row r="80" spans="1:15" s="12" customFormat="1" x14ac:dyDescent="0.35">
      <c r="A80" s="206" t="s">
        <v>85</v>
      </c>
      <c r="B80" s="207"/>
      <c r="D80" s="200" t="e">
        <f ca="1">+FISCA("2050_BLnet")+FISCA("2050_BNnet")+FISCA("2050_BPnet")+FISCA("2050_BRnet")+FISCA("2050_BTnet")</f>
        <v>#NAME?</v>
      </c>
      <c r="E80" s="193" t="e">
        <f ca="1">+PHASE.FISCA("DEC-PREV","2050_BLnet")+PHASE.FISCA("DEC-PREV","2050_BNnet")+PHASE.FISCA("DEC-PREV","2050_BPnet")+PHASE.FISCA("DEC-PREV","2050_BRnet")+PHASE.FISCA("DEC-PREV","2050_BTnet")</f>
        <v>#NAME?</v>
      </c>
      <c r="F80" s="192" t="e">
        <f ca="1">+E80-D80</f>
        <v>#NAME?</v>
      </c>
      <c r="G80" s="193"/>
      <c r="H80" s="200" t="e">
        <f ca="1">+FISCA("2050_BLnet",-1)+FISCA("2050_BNnet",-1)+FISCA("2050_BPnet",-1)+FISCA("2050_BRnet",-1)+FISCA("2050_BTnet",-1)</f>
        <v>#NAME?</v>
      </c>
      <c r="I80" s="193" t="e">
        <f ca="1">+FISCA("2050_BLnet",-2)+FISCA("2050_BNnet",-2)+FISCA("2050_BPnet",-2)+FISCA("2050_BRnet",-2)+FISCA("2050_BTnet",-2)</f>
        <v>#NAME?</v>
      </c>
      <c r="J80" s="192" t="e">
        <f ca="1">+I80-H80</f>
        <v>#NAME?</v>
      </c>
      <c r="K80" s="193"/>
      <c r="L80" s="188"/>
      <c r="M80" s="167"/>
      <c r="N80" s="167"/>
      <c r="O80" s="167"/>
    </row>
    <row r="81" spans="1:15" s="12" customFormat="1" x14ac:dyDescent="0.35">
      <c r="A81" s="206" t="s">
        <v>53</v>
      </c>
      <c r="B81" s="207"/>
      <c r="D81" s="200"/>
      <c r="E81" s="193"/>
      <c r="F81" s="192">
        <f>+D81-E81</f>
        <v>0</v>
      </c>
      <c r="G81" s="193"/>
      <c r="H81" s="200"/>
      <c r="I81" s="193"/>
      <c r="J81" s="208">
        <f>+H81-I81</f>
        <v>0</v>
      </c>
      <c r="K81" s="193"/>
      <c r="L81" s="188"/>
      <c r="M81" s="167"/>
      <c r="N81" s="167"/>
      <c r="O81" s="167"/>
    </row>
    <row r="82" spans="1:15" s="12" customFormat="1" ht="3" customHeight="1" x14ac:dyDescent="0.35">
      <c r="A82" s="206"/>
      <c r="B82" s="207"/>
      <c r="D82" s="200"/>
      <c r="E82" s="193"/>
      <c r="F82" s="192"/>
      <c r="G82" s="193"/>
      <c r="H82" s="200"/>
      <c r="I82" s="193"/>
      <c r="J82" s="192"/>
      <c r="K82" s="193"/>
      <c r="L82" s="188"/>
      <c r="M82" s="167"/>
      <c r="N82" s="167"/>
      <c r="O82" s="167"/>
    </row>
    <row r="83" spans="1:15" s="12" customFormat="1" x14ac:dyDescent="0.35">
      <c r="A83" s="199" t="s">
        <v>86</v>
      </c>
      <c r="B83" s="190"/>
      <c r="C83" s="234"/>
      <c r="D83" s="235" t="e">
        <f ca="1">SUM(D80:D82)</f>
        <v>#NAME?</v>
      </c>
      <c r="E83" s="237" t="e">
        <f ca="1">SUM(E80:E82)</f>
        <v>#NAME?</v>
      </c>
      <c r="F83" s="236" t="e">
        <f ca="1">SUM(F80:F82)</f>
        <v>#NAME?</v>
      </c>
      <c r="G83" s="237"/>
      <c r="H83" s="235" t="e">
        <f ca="1">SUM(H80:H82)</f>
        <v>#NAME?</v>
      </c>
      <c r="I83" s="237" t="e">
        <f ca="1">SUM(I80:I82)</f>
        <v>#NAME?</v>
      </c>
      <c r="J83" s="236" t="e">
        <f ca="1">SUM(J80:J82)</f>
        <v>#NAME?</v>
      </c>
      <c r="K83" s="237"/>
      <c r="L83" s="245"/>
      <c r="M83" s="167"/>
      <c r="N83" s="167"/>
      <c r="O83" s="167"/>
    </row>
    <row r="84" spans="1:15" s="12" customFormat="1" ht="15" thickBot="1" x14ac:dyDescent="0.4">
      <c r="A84" s="252"/>
      <c r="B84" s="253"/>
      <c r="D84" s="203"/>
      <c r="E84" s="204"/>
      <c r="F84" s="205"/>
      <c r="G84" s="193"/>
      <c r="H84" s="203"/>
      <c r="I84" s="204"/>
      <c r="J84" s="205"/>
      <c r="K84" s="193"/>
      <c r="L84" s="188"/>
      <c r="M84" s="167"/>
      <c r="N84" s="167"/>
      <c r="O84" s="167"/>
    </row>
    <row r="85" spans="1:15" s="12" customFormat="1" ht="29.5" thickTop="1" x14ac:dyDescent="0.35">
      <c r="A85" s="251" t="s">
        <v>84</v>
      </c>
      <c r="B85" s="231"/>
      <c r="D85" s="196"/>
      <c r="E85" s="197"/>
      <c r="F85" s="198"/>
      <c r="G85" s="193"/>
      <c r="H85" s="196"/>
      <c r="I85" s="197"/>
      <c r="J85" s="198"/>
      <c r="K85" s="193"/>
      <c r="L85" s="188"/>
      <c r="M85" s="167"/>
      <c r="N85" s="167"/>
      <c r="O85" s="167"/>
    </row>
    <row r="86" spans="1:15" s="12" customFormat="1" x14ac:dyDescent="0.35">
      <c r="A86" s="206" t="s">
        <v>87</v>
      </c>
      <c r="B86" s="207"/>
      <c r="D86" s="200" t="e">
        <f ca="1">FISCA("2050_BXNET")</f>
        <v>#NAME?</v>
      </c>
      <c r="E86" s="193" t="e">
        <f ca="1">PHASE.FISCA("DEC-PREV","2050_BXNET")</f>
        <v>#NAME?</v>
      </c>
      <c r="F86" s="192" t="e">
        <f ca="1">+E86-D86</f>
        <v>#NAME?</v>
      </c>
      <c r="G86" s="193"/>
      <c r="H86" s="200" t="e">
        <f ca="1">FISCA("2050_BXNET",-1)</f>
        <v>#NAME?</v>
      </c>
      <c r="I86" s="193" t="e">
        <f ca="1">PHASE.FISCA("DEC-PREV","2050_BXNET",-1)</f>
        <v>#NAME?</v>
      </c>
      <c r="J86" s="192" t="e">
        <f ca="1">+I86-H86</f>
        <v>#NAME?</v>
      </c>
      <c r="K86" s="193"/>
      <c r="L86" s="188" t="e">
        <f ca="1">LDESC("2050_BX")</f>
        <v>#NAME?</v>
      </c>
      <c r="M86" s="167"/>
      <c r="N86" s="167"/>
      <c r="O86" s="167"/>
    </row>
    <row r="87" spans="1:15" s="12" customFormat="1" x14ac:dyDescent="0.35">
      <c r="A87" s="206" t="s">
        <v>88</v>
      </c>
      <c r="B87" s="207"/>
      <c r="D87" s="200" t="e">
        <f ca="1">FISCA("2050_BZNET")</f>
        <v>#NAME?</v>
      </c>
      <c r="E87" s="193" t="e">
        <f ca="1">PHASE.FISCA("DEC-PREV","2050_BZNET")</f>
        <v>#NAME?</v>
      </c>
      <c r="F87" s="192" t="e">
        <f ca="1">+E87-D87</f>
        <v>#NAME?</v>
      </c>
      <c r="G87" s="193"/>
      <c r="H87" s="200" t="e">
        <f ca="1">FISCA("2050_BZNET",-1)</f>
        <v>#NAME?</v>
      </c>
      <c r="I87" s="193" t="e">
        <f ca="1">PHASE.FISCA("DEC-PREV","2050_BZNET",-1)</f>
        <v>#NAME?</v>
      </c>
      <c r="J87" s="192" t="e">
        <f ca="1">+I87-H87</f>
        <v>#NAME?</v>
      </c>
      <c r="K87" s="193"/>
      <c r="L87" s="188" t="e">
        <f ca="1">LDESC("2050_BZNET")</f>
        <v>#NAME?</v>
      </c>
      <c r="M87" s="167"/>
      <c r="N87" s="167"/>
      <c r="O87" s="167"/>
    </row>
    <row r="88" spans="1:15" s="12" customFormat="1" x14ac:dyDescent="0.35">
      <c r="A88" s="206" t="s">
        <v>89</v>
      </c>
      <c r="B88" s="207"/>
      <c r="D88" s="200" t="e">
        <f ca="1">FISCA("2050_CH")</f>
        <v>#NAME?</v>
      </c>
      <c r="E88" s="193" t="e">
        <f ca="1">PHASE.FISCA("DEC-PREV","2050_CH")</f>
        <v>#NAME?</v>
      </c>
      <c r="F88" s="192" t="e">
        <f ca="1">+E88-D88</f>
        <v>#NAME?</v>
      </c>
      <c r="G88" s="193"/>
      <c r="H88" s="200" t="e">
        <f ca="1">FISCA("2050_CH",-1)</f>
        <v>#NAME?</v>
      </c>
      <c r="I88" s="193" t="e">
        <f ca="1">PHASE.FISCA("DEC-PREV","2050_CH",-1)</f>
        <v>#NAME?</v>
      </c>
      <c r="J88" s="192" t="e">
        <f ca="1">+I88-H88</f>
        <v>#NAME?</v>
      </c>
      <c r="K88" s="193"/>
      <c r="L88" s="188" t="e">
        <f ca="1">LDESC("2050_CH")</f>
        <v>#NAME?</v>
      </c>
      <c r="M88" s="167"/>
      <c r="N88" s="167"/>
      <c r="O88" s="167"/>
    </row>
    <row r="89" spans="1:15" s="12" customFormat="1" x14ac:dyDescent="0.35">
      <c r="A89" s="206" t="s">
        <v>90</v>
      </c>
      <c r="B89" s="207"/>
      <c r="D89" s="200"/>
      <c r="E89" s="193"/>
      <c r="F89" s="192"/>
      <c r="G89" s="193"/>
      <c r="H89" s="200"/>
      <c r="I89" s="193"/>
      <c r="J89" s="192"/>
      <c r="K89" s="193"/>
      <c r="L89" s="188"/>
      <c r="M89" s="167"/>
      <c r="N89" s="167"/>
      <c r="O89" s="167"/>
    </row>
    <row r="90" spans="1:15" s="12" customFormat="1" x14ac:dyDescent="0.35">
      <c r="A90" s="206" t="s">
        <v>91</v>
      </c>
      <c r="B90" s="207"/>
      <c r="D90" s="200" t="e">
        <f ca="1">FISCA("2050_CN")</f>
        <v>#NAME?</v>
      </c>
      <c r="E90" s="193" t="e">
        <f ca="1">PHASE.FISCA("DEC-PREV","2050_CN")</f>
        <v>#NAME?</v>
      </c>
      <c r="F90" s="192" t="e">
        <f ca="1">+E90-D90</f>
        <v>#NAME?</v>
      </c>
      <c r="G90" s="193"/>
      <c r="H90" s="200" t="e">
        <f ca="1">FISCA("2050_CN",-1)</f>
        <v>#NAME?</v>
      </c>
      <c r="I90" s="193" t="e">
        <f ca="1">PHASE.FISCA("DEC-PREV","2050_CN",-1)</f>
        <v>#NAME?</v>
      </c>
      <c r="J90" s="192" t="e">
        <f ca="1">+I90-H90</f>
        <v>#NAME?</v>
      </c>
      <c r="K90" s="193"/>
      <c r="L90" s="188" t="e">
        <f ca="1">LDESC("2050_CN")</f>
        <v>#NAME?</v>
      </c>
      <c r="M90" s="167"/>
      <c r="N90" s="167"/>
      <c r="O90" s="167"/>
    </row>
    <row r="91" spans="1:15" s="12" customFormat="1" x14ac:dyDescent="0.35">
      <c r="A91" s="206" t="s">
        <v>53</v>
      </c>
      <c r="B91" s="207"/>
      <c r="D91" s="200"/>
      <c r="E91" s="193"/>
      <c r="F91" s="208">
        <f>+D91-E91</f>
        <v>0</v>
      </c>
      <c r="G91" s="193"/>
      <c r="H91" s="200"/>
      <c r="I91" s="193"/>
      <c r="J91" s="208">
        <f>+H91-I91</f>
        <v>0</v>
      </c>
      <c r="K91" s="193"/>
      <c r="L91" s="188"/>
      <c r="M91" s="167"/>
      <c r="N91" s="167"/>
      <c r="O91" s="167"/>
    </row>
    <row r="92" spans="1:15" s="12" customFormat="1" ht="3" customHeight="1" x14ac:dyDescent="0.35">
      <c r="A92" s="206"/>
      <c r="B92" s="207"/>
      <c r="D92" s="200"/>
      <c r="E92" s="193"/>
      <c r="F92" s="192"/>
      <c r="G92" s="193"/>
      <c r="H92" s="200"/>
      <c r="I92" s="193"/>
      <c r="J92" s="192"/>
      <c r="K92" s="193"/>
      <c r="L92" s="188"/>
      <c r="M92" s="167"/>
      <c r="N92" s="167"/>
      <c r="O92" s="167"/>
    </row>
    <row r="93" spans="1:15" s="12" customFormat="1" x14ac:dyDescent="0.35">
      <c r="A93" s="199" t="s">
        <v>8</v>
      </c>
      <c r="B93" s="190"/>
      <c r="C93" s="211"/>
      <c r="D93" s="212" t="e">
        <f ca="1">SUM(D86:D92)</f>
        <v>#NAME?</v>
      </c>
      <c r="E93" s="213" t="e">
        <f ca="1">SUM(E86:E92)</f>
        <v>#NAME?</v>
      </c>
      <c r="F93" s="214" t="e">
        <f ca="1">SUM(F86:F92)</f>
        <v>#NAME?</v>
      </c>
      <c r="G93" s="213"/>
      <c r="H93" s="212" t="e">
        <f ca="1">SUM(H86:H92)</f>
        <v>#NAME?</v>
      </c>
      <c r="I93" s="213" t="e">
        <f ca="1">SUM(I86:I92)</f>
        <v>#NAME?</v>
      </c>
      <c r="J93" s="214" t="e">
        <f ca="1">SUM(J86:J92)</f>
        <v>#NAME?</v>
      </c>
      <c r="K93" s="213"/>
      <c r="L93" s="188"/>
      <c r="M93" s="167"/>
      <c r="N93" s="167"/>
      <c r="O93" s="167"/>
    </row>
    <row r="94" spans="1:15" s="12" customFormat="1" ht="15" thickBot="1" x14ac:dyDescent="0.4">
      <c r="A94" s="189"/>
      <c r="B94" s="238"/>
      <c r="D94" s="203"/>
      <c r="E94" s="204"/>
      <c r="F94" s="205"/>
      <c r="G94" s="193"/>
      <c r="H94" s="203"/>
      <c r="I94" s="204"/>
      <c r="J94" s="205"/>
      <c r="K94" s="193"/>
      <c r="L94" s="188"/>
      <c r="M94" s="167"/>
      <c r="N94" s="167"/>
      <c r="O94" s="167"/>
    </row>
    <row r="95" spans="1:15" s="12" customFormat="1" ht="29.5" thickTop="1" x14ac:dyDescent="0.35">
      <c r="A95" s="251" t="s">
        <v>92</v>
      </c>
      <c r="B95" s="231"/>
      <c r="D95" s="196"/>
      <c r="E95" s="197"/>
      <c r="F95" s="198"/>
      <c r="G95" s="193"/>
      <c r="H95" s="196"/>
      <c r="I95" s="197"/>
      <c r="J95" s="198"/>
      <c r="K95" s="193"/>
      <c r="L95" s="188"/>
      <c r="M95" s="167"/>
      <c r="N95" s="167"/>
      <c r="O95" s="167"/>
    </row>
    <row r="96" spans="1:15" s="12" customFormat="1" x14ac:dyDescent="0.35">
      <c r="A96" s="206" t="s">
        <v>93</v>
      </c>
      <c r="B96" s="207"/>
      <c r="D96" s="200" t="e">
        <f ca="1">FISCA("2051_DX")</f>
        <v>#NAME?</v>
      </c>
      <c r="E96" s="193" t="e">
        <f ca="1">PHASE.FISCA("DEC-PREV","2051_DX")</f>
        <v>#NAME?</v>
      </c>
      <c r="F96" s="192" t="e">
        <f ca="1">+D96-E96</f>
        <v>#NAME?</v>
      </c>
      <c r="G96" s="193"/>
      <c r="H96" s="200" t="e">
        <f ca="1">FISCA("2051_DX",-1)</f>
        <v>#NAME?</v>
      </c>
      <c r="I96" s="193" t="e">
        <f ca="1">PHASE.FISCA("DEC-PREV","2051_DX",-1)</f>
        <v>#NAME?</v>
      </c>
      <c r="J96" s="192" t="e">
        <f ca="1">+H96-I96</f>
        <v>#NAME?</v>
      </c>
      <c r="K96" s="193"/>
      <c r="L96" s="188" t="e">
        <f ca="1">LDESC("2051_DX")</f>
        <v>#NAME?</v>
      </c>
      <c r="M96" s="167"/>
      <c r="N96" s="167"/>
      <c r="O96" s="167"/>
    </row>
    <row r="97" spans="1:15" s="12" customFormat="1" x14ac:dyDescent="0.35">
      <c r="A97" s="206" t="s">
        <v>94</v>
      </c>
      <c r="B97" s="207"/>
      <c r="D97" s="200" t="e">
        <f ca="1">FISCA("2051_DY")</f>
        <v>#NAME?</v>
      </c>
      <c r="E97" s="193" t="e">
        <f ca="1">PHASE.FISCA("DEC-PREV","2051_DY")</f>
        <v>#NAME?</v>
      </c>
      <c r="F97" s="192" t="e">
        <f ca="1">+D97-E97</f>
        <v>#NAME?</v>
      </c>
      <c r="G97" s="193"/>
      <c r="H97" s="200" t="e">
        <f ca="1">FISCA("2051_DY",-1)</f>
        <v>#NAME?</v>
      </c>
      <c r="I97" s="193" t="e">
        <f ca="1">PHASE.FISCA("DEC-PREV","2051_DY",-1)</f>
        <v>#NAME?</v>
      </c>
      <c r="J97" s="192" t="e">
        <f ca="1">+H97-I97</f>
        <v>#NAME?</v>
      </c>
      <c r="K97" s="193"/>
      <c r="L97" s="188" t="e">
        <f ca="1">LDESC("2051_DY")</f>
        <v>#NAME?</v>
      </c>
      <c r="M97" s="167"/>
      <c r="N97" s="167"/>
      <c r="O97" s="167"/>
    </row>
    <row r="98" spans="1:15" s="12" customFormat="1" x14ac:dyDescent="0.35">
      <c r="A98" s="206" t="s">
        <v>95</v>
      </c>
      <c r="B98" s="207"/>
      <c r="D98" s="200" t="e">
        <f ca="1">FISCA("2051_EA")</f>
        <v>#NAME?</v>
      </c>
      <c r="E98" s="193" t="e">
        <f ca="1">PHASE.FISCA("DEC-PREV","2051_EA")</f>
        <v>#NAME?</v>
      </c>
      <c r="F98" s="192" t="e">
        <f ca="1">+D98-E98</f>
        <v>#NAME?</v>
      </c>
      <c r="G98" s="193"/>
      <c r="H98" s="200" t="e">
        <f ca="1">FISCA("2051_EA",-1)</f>
        <v>#NAME?</v>
      </c>
      <c r="I98" s="193" t="e">
        <f ca="1">PHASE.FISCA("DEC-PREV","2051_EA",-1)</f>
        <v>#NAME?</v>
      </c>
      <c r="J98" s="192" t="e">
        <f ca="1">+H98-I98</f>
        <v>#NAME?</v>
      </c>
      <c r="K98" s="193"/>
      <c r="L98" s="188" t="e">
        <f ca="1">LDESC("2051_EA")</f>
        <v>#NAME?</v>
      </c>
      <c r="M98" s="167"/>
      <c r="N98" s="167"/>
      <c r="O98" s="167"/>
    </row>
    <row r="99" spans="1:15" s="12" customFormat="1" x14ac:dyDescent="0.35">
      <c r="A99" s="206" t="s">
        <v>96</v>
      </c>
      <c r="B99" s="207"/>
      <c r="D99" s="200" t="e">
        <f ca="1">FISCA("2051_EB")</f>
        <v>#NAME?</v>
      </c>
      <c r="E99" s="193" t="e">
        <f ca="1">PHASE.FISCA("DEC-PREV","2051_EB")</f>
        <v>#NAME?</v>
      </c>
      <c r="F99" s="192" t="e">
        <f ca="1">+D99-E99</f>
        <v>#NAME?</v>
      </c>
      <c r="G99" s="193"/>
      <c r="H99" s="200" t="e">
        <f ca="1">FISCA("2051_EB",-1)</f>
        <v>#NAME?</v>
      </c>
      <c r="I99" s="193" t="e">
        <f ca="1">PHASE.FISCA("DEC-PREV","2051_EB",-1)</f>
        <v>#NAME?</v>
      </c>
      <c r="J99" s="192" t="e">
        <f ca="1">+H99-I99</f>
        <v>#NAME?</v>
      </c>
      <c r="K99" s="193"/>
      <c r="L99" s="188" t="e">
        <f ca="1">LDESC("2051_EB")</f>
        <v>#NAME?</v>
      </c>
      <c r="M99" s="167"/>
      <c r="N99" s="167"/>
      <c r="O99" s="167"/>
    </row>
    <row r="100" spans="1:15" s="12" customFormat="1" x14ac:dyDescent="0.35">
      <c r="A100" s="206" t="s">
        <v>90</v>
      </c>
      <c r="B100" s="207"/>
      <c r="D100" s="200"/>
      <c r="E100" s="193"/>
      <c r="F100" s="192"/>
      <c r="G100" s="193"/>
      <c r="H100" s="200"/>
      <c r="I100" s="193"/>
      <c r="J100" s="192"/>
      <c r="K100" s="193"/>
      <c r="L100" s="188"/>
      <c r="M100" s="167"/>
      <c r="N100" s="167"/>
      <c r="O100" s="167"/>
    </row>
    <row r="101" spans="1:15" s="12" customFormat="1" x14ac:dyDescent="0.35">
      <c r="A101" s="206" t="s">
        <v>97</v>
      </c>
      <c r="B101" s="207"/>
      <c r="D101" s="200" t="e">
        <f ca="1">FISCA("2051_ED")</f>
        <v>#NAME?</v>
      </c>
      <c r="E101" s="193" t="e">
        <f ca="1">PHASE.FISCA("DEC-PREV","2051_ED")</f>
        <v>#NAME?</v>
      </c>
      <c r="F101" s="192" t="e">
        <f ca="1">+D101-E101</f>
        <v>#NAME?</v>
      </c>
      <c r="G101" s="193"/>
      <c r="H101" s="200" t="e">
        <f ca="1">FISCA("2051_ED",-1)</f>
        <v>#NAME?</v>
      </c>
      <c r="I101" s="193" t="e">
        <f ca="1">PHASE.FISCA("DEC-PREV","2051_ED",-1)</f>
        <v>#NAME?</v>
      </c>
      <c r="J101" s="192" t="e">
        <f ca="1">+H101-I101</f>
        <v>#NAME?</v>
      </c>
      <c r="K101" s="193"/>
      <c r="L101" s="188" t="e">
        <f ca="1">LDESC("2051_ED")</f>
        <v>#NAME?</v>
      </c>
      <c r="M101" s="167"/>
      <c r="N101" s="167"/>
      <c r="O101" s="167"/>
    </row>
    <row r="102" spans="1:15" s="12" customFormat="1" x14ac:dyDescent="0.35">
      <c r="A102" s="206" t="s">
        <v>53</v>
      </c>
      <c r="B102" s="207"/>
      <c r="D102" s="200"/>
      <c r="E102" s="193"/>
      <c r="F102" s="208">
        <f>+D102-E102</f>
        <v>0</v>
      </c>
      <c r="G102" s="193"/>
      <c r="H102" s="200"/>
      <c r="I102" s="193"/>
      <c r="J102" s="208">
        <f>+H102-I102</f>
        <v>0</v>
      </c>
      <c r="K102" s="193"/>
      <c r="L102" s="188"/>
      <c r="M102" s="167"/>
      <c r="N102" s="167"/>
      <c r="O102" s="167"/>
    </row>
    <row r="103" spans="1:15" s="12" customFormat="1" ht="3" customHeight="1" x14ac:dyDescent="0.35">
      <c r="A103" s="206"/>
      <c r="B103" s="207"/>
      <c r="D103" s="200"/>
      <c r="E103" s="193"/>
      <c r="F103" s="192"/>
      <c r="G103" s="193"/>
      <c r="H103" s="200"/>
      <c r="I103" s="193"/>
      <c r="J103" s="192"/>
      <c r="K103" s="193"/>
      <c r="L103" s="188"/>
      <c r="M103" s="167"/>
      <c r="N103" s="167"/>
      <c r="O103" s="167"/>
    </row>
    <row r="104" spans="1:15" s="12" customFormat="1" x14ac:dyDescent="0.35">
      <c r="A104" s="199" t="s">
        <v>24</v>
      </c>
      <c r="B104" s="190"/>
      <c r="C104" s="211"/>
      <c r="D104" s="212" t="e">
        <f ca="1">SUM(D96:D102)</f>
        <v>#NAME?</v>
      </c>
      <c r="E104" s="213" t="e">
        <f ca="1">SUM(E96:E102)</f>
        <v>#NAME?</v>
      </c>
      <c r="F104" s="214" t="e">
        <f ca="1">SUM(F96:F102)</f>
        <v>#NAME?</v>
      </c>
      <c r="G104" s="213"/>
      <c r="H104" s="212" t="e">
        <f ca="1">SUM(H96:H103)</f>
        <v>#NAME?</v>
      </c>
      <c r="I104" s="213" t="e">
        <f ca="1">SUM(I96:I102)</f>
        <v>#NAME?</v>
      </c>
      <c r="J104" s="214" t="e">
        <f ca="1">SUM(J96:J103)</f>
        <v>#NAME?</v>
      </c>
      <c r="K104" s="213"/>
      <c r="L104" s="188"/>
      <c r="M104" s="167"/>
      <c r="N104" s="167"/>
      <c r="O104" s="167"/>
    </row>
    <row r="105" spans="1:15" s="12" customFormat="1" ht="15" thickBot="1" x14ac:dyDescent="0.4">
      <c r="A105" s="189"/>
      <c r="B105" s="238"/>
      <c r="D105" s="203"/>
      <c r="E105" s="204"/>
      <c r="F105" s="205"/>
      <c r="G105" s="193"/>
      <c r="H105" s="203"/>
      <c r="I105" s="204"/>
      <c r="J105" s="205"/>
      <c r="K105" s="193"/>
      <c r="L105" s="188"/>
      <c r="M105" s="167"/>
      <c r="N105" s="167"/>
      <c r="O105" s="167"/>
    </row>
    <row r="106" spans="1:15" s="12" customFormat="1" ht="15" thickTop="1" x14ac:dyDescent="0.35">
      <c r="A106" s="230"/>
      <c r="B106" s="231"/>
      <c r="D106" s="196"/>
      <c r="E106" s="197"/>
      <c r="F106" s="198"/>
      <c r="G106" s="193"/>
      <c r="H106" s="196"/>
      <c r="I106" s="197"/>
      <c r="J106" s="198"/>
      <c r="K106" s="193"/>
      <c r="L106" s="188"/>
      <c r="M106" s="167"/>
      <c r="N106" s="167"/>
      <c r="O106" s="167"/>
    </row>
    <row r="107" spans="1:15" s="12" customFormat="1" x14ac:dyDescent="0.35">
      <c r="A107" s="199" t="s">
        <v>98</v>
      </c>
      <c r="B107" s="190"/>
      <c r="D107" s="200"/>
      <c r="E107" s="193"/>
      <c r="F107" s="192">
        <f>+D107-E107</f>
        <v>0</v>
      </c>
      <c r="G107" s="193"/>
      <c r="H107" s="200"/>
      <c r="I107" s="193"/>
      <c r="J107" s="192">
        <f>+H107-I107</f>
        <v>0</v>
      </c>
      <c r="K107" s="193"/>
      <c r="L107" s="188" t="s">
        <v>99</v>
      </c>
      <c r="M107" s="167"/>
      <c r="N107" s="167"/>
      <c r="O107" s="167"/>
    </row>
    <row r="108" spans="1:15" s="12" customFormat="1" ht="15" thickBot="1" x14ac:dyDescent="0.4">
      <c r="A108" s="189"/>
      <c r="B108" s="238"/>
      <c r="D108" s="203"/>
      <c r="E108" s="204"/>
      <c r="F108" s="205"/>
      <c r="G108" s="193"/>
      <c r="H108" s="203"/>
      <c r="I108" s="204"/>
      <c r="J108" s="205"/>
      <c r="K108" s="193"/>
      <c r="L108" s="188"/>
      <c r="M108" s="167"/>
      <c r="N108" s="167"/>
      <c r="O108" s="167"/>
    </row>
    <row r="109" spans="1:15" s="12" customFormat="1" ht="15.5" thickTop="1" thickBot="1" x14ac:dyDescent="0.4">
      <c r="A109" s="206"/>
      <c r="B109" s="207"/>
      <c r="D109" s="200"/>
      <c r="E109" s="193"/>
      <c r="F109" s="192"/>
      <c r="G109" s="193"/>
      <c r="H109" s="200"/>
      <c r="I109" s="193"/>
      <c r="J109" s="192"/>
      <c r="K109" s="193"/>
      <c r="L109" s="188"/>
      <c r="M109" s="167"/>
      <c r="N109" s="167"/>
      <c r="O109" s="167"/>
    </row>
    <row r="110" spans="1:15" s="12" customFormat="1" ht="29.5" thickTop="1" x14ac:dyDescent="0.35">
      <c r="A110" s="251" t="s">
        <v>100</v>
      </c>
      <c r="B110" s="231"/>
      <c r="D110" s="196"/>
      <c r="E110" s="197"/>
      <c r="F110" s="198"/>
      <c r="G110" s="193"/>
      <c r="H110" s="196"/>
      <c r="I110" s="197"/>
      <c r="J110" s="198"/>
      <c r="K110" s="193"/>
      <c r="L110" s="188"/>
      <c r="M110" s="167"/>
      <c r="N110" s="167"/>
      <c r="O110" s="167"/>
    </row>
    <row r="111" spans="1:15" s="12" customFormat="1" x14ac:dyDescent="0.35">
      <c r="A111" s="206" t="s">
        <v>101</v>
      </c>
      <c r="B111" s="207"/>
      <c r="D111" s="200" t="e">
        <f ca="1">FISCA("2050_BVNET")</f>
        <v>#NAME?</v>
      </c>
      <c r="E111" s="193" t="e">
        <f ca="1">PHASE.FISCA("DEC-PREV","2050_BVNET")</f>
        <v>#NAME?</v>
      </c>
      <c r="F111" s="192" t="e">
        <f ca="1">+E111-D111</f>
        <v>#NAME?</v>
      </c>
      <c r="G111" s="193"/>
      <c r="H111" s="200" t="e">
        <f ca="1">FISCA("2050_BVNET",-1)</f>
        <v>#NAME?</v>
      </c>
      <c r="I111" s="193" t="e">
        <f ca="1">PHASE.FISCA("DEC-PREV","2050_BVNET",-1)</f>
        <v>#NAME?</v>
      </c>
      <c r="J111" s="192" t="e">
        <f ca="1">+I111-H111</f>
        <v>#NAME?</v>
      </c>
      <c r="K111" s="193"/>
      <c r="L111" s="188" t="e">
        <f ca="1">LDESC("2050_BVNET")</f>
        <v>#NAME?</v>
      </c>
      <c r="M111" s="167"/>
      <c r="N111" s="167"/>
      <c r="O111" s="167"/>
    </row>
    <row r="112" spans="1:15" s="12" customFormat="1" x14ac:dyDescent="0.35">
      <c r="A112" s="206" t="s">
        <v>102</v>
      </c>
      <c r="B112" s="207"/>
      <c r="D112" s="200" t="e">
        <f ca="1">FISCA("2051_DW")</f>
        <v>#NAME?</v>
      </c>
      <c r="E112" s="193" t="e">
        <f ca="1">PHASE.FISCA("DEC-PREV","2051_DW")</f>
        <v>#NAME?</v>
      </c>
      <c r="F112" s="192" t="e">
        <f ca="1">+D112-E112</f>
        <v>#NAME?</v>
      </c>
      <c r="G112" s="193"/>
      <c r="H112" s="200" t="e">
        <f ca="1">FISCA("2051_DW",-1)</f>
        <v>#NAME?</v>
      </c>
      <c r="I112" s="193" t="e">
        <f ca="1">PHASE.FISCA("DEC-PREV","2051_DW",-1)</f>
        <v>#NAME?</v>
      </c>
      <c r="J112" s="192" t="e">
        <f ca="1">+H112-I112</f>
        <v>#NAME?</v>
      </c>
      <c r="K112" s="193"/>
      <c r="L112" s="188" t="e">
        <f ca="1">LDESC("2051_DW")</f>
        <v>#NAME?</v>
      </c>
      <c r="M112" s="167"/>
      <c r="N112" s="167"/>
      <c r="O112" s="167"/>
    </row>
    <row r="113" spans="1:15" s="12" customFormat="1" x14ac:dyDescent="0.35">
      <c r="A113" s="206"/>
      <c r="B113" s="207"/>
      <c r="D113" s="200"/>
      <c r="E113" s="193"/>
      <c r="F113" s="192"/>
      <c r="G113" s="193"/>
      <c r="H113" s="200"/>
      <c r="I113" s="193"/>
      <c r="J113" s="192"/>
      <c r="K113" s="193"/>
      <c r="L113" s="188"/>
      <c r="M113" s="167"/>
      <c r="N113" s="167"/>
      <c r="O113" s="167"/>
    </row>
    <row r="114" spans="1:15" s="12" customFormat="1" x14ac:dyDescent="0.35">
      <c r="A114" s="199" t="s">
        <v>103</v>
      </c>
      <c r="B114" s="190"/>
      <c r="C114" s="211"/>
      <c r="D114" s="212" t="e">
        <f ca="1">+D111-D112</f>
        <v>#NAME?</v>
      </c>
      <c r="E114" s="213" t="e">
        <f ca="1">+E111-E112</f>
        <v>#NAME?</v>
      </c>
      <c r="F114" s="214" t="e">
        <f ca="1">+SUM(F110:F113)</f>
        <v>#NAME?</v>
      </c>
      <c r="G114" s="213"/>
      <c r="H114" s="212" t="e">
        <f ca="1">+H111-H112</f>
        <v>#NAME?</v>
      </c>
      <c r="I114" s="213" t="e">
        <f ca="1">+I111-I112</f>
        <v>#NAME?</v>
      </c>
      <c r="J114" s="214" t="e">
        <f ca="1">+SUM(J110:J113)</f>
        <v>#NAME?</v>
      </c>
      <c r="K114" s="213"/>
      <c r="L114" s="188"/>
      <c r="M114" s="167"/>
      <c r="N114" s="167"/>
      <c r="O114" s="167"/>
    </row>
    <row r="115" spans="1:15" s="12" customFormat="1" ht="15" thickBot="1" x14ac:dyDescent="0.4">
      <c r="A115" s="189"/>
      <c r="B115" s="238"/>
      <c r="D115" s="203"/>
      <c r="E115" s="204"/>
      <c r="F115" s="205"/>
      <c r="G115" s="193"/>
      <c r="H115" s="203"/>
      <c r="I115" s="204"/>
      <c r="J115" s="205"/>
      <c r="K115" s="193"/>
      <c r="L115" s="188"/>
      <c r="M115" s="167"/>
      <c r="N115" s="167"/>
      <c r="O115" s="167"/>
    </row>
    <row r="116" spans="1:15" s="12" customFormat="1" ht="15" thickTop="1" x14ac:dyDescent="0.35">
      <c r="A116" s="230"/>
      <c r="B116" s="231"/>
      <c r="D116" s="196"/>
      <c r="E116" s="197"/>
      <c r="F116" s="198"/>
      <c r="G116" s="193"/>
      <c r="H116" s="196"/>
      <c r="I116" s="197"/>
      <c r="J116" s="198"/>
      <c r="K116" s="193"/>
      <c r="L116" s="188"/>
      <c r="M116" s="167"/>
      <c r="N116" s="167"/>
      <c r="O116" s="167"/>
    </row>
    <row r="117" spans="1:15" s="12" customFormat="1" x14ac:dyDescent="0.35">
      <c r="A117" s="247" t="s">
        <v>104</v>
      </c>
      <c r="B117" s="190"/>
      <c r="C117" s="248"/>
      <c r="D117" s="200"/>
      <c r="E117" s="193"/>
      <c r="F117" s="249" t="e">
        <f ca="1">+F83+F93+F104+F114</f>
        <v>#NAME?</v>
      </c>
      <c r="G117" s="250"/>
      <c r="H117" s="200"/>
      <c r="I117" s="193"/>
      <c r="J117" s="249" t="e">
        <f ca="1">+J83+J93+J104+J114</f>
        <v>#NAME?</v>
      </c>
      <c r="K117" s="250"/>
      <c r="L117" s="188"/>
      <c r="M117" s="167"/>
      <c r="N117" s="167"/>
      <c r="O117" s="167"/>
    </row>
    <row r="118" spans="1:15" s="12" customFormat="1" ht="15" thickBot="1" x14ac:dyDescent="0.4">
      <c r="A118" s="189"/>
      <c r="B118" s="238"/>
      <c r="D118" s="203"/>
      <c r="E118" s="204"/>
      <c r="F118" s="205"/>
      <c r="G118" s="193"/>
      <c r="H118" s="203"/>
      <c r="I118" s="204"/>
      <c r="J118" s="205"/>
      <c r="K118" s="193"/>
      <c r="L118" s="188"/>
      <c r="M118" s="167"/>
      <c r="N118" s="167"/>
      <c r="O118" s="167"/>
    </row>
    <row r="119" spans="1:15" s="12" customFormat="1" ht="15" thickTop="1" x14ac:dyDescent="0.35">
      <c r="A119" s="230"/>
      <c r="B119" s="231"/>
      <c r="D119" s="196"/>
      <c r="E119" s="197"/>
      <c r="F119" s="198"/>
      <c r="G119" s="193"/>
      <c r="H119" s="196"/>
      <c r="I119" s="197"/>
      <c r="J119" s="198"/>
      <c r="K119" s="193"/>
      <c r="L119" s="188"/>
      <c r="M119" s="167"/>
      <c r="N119" s="167"/>
      <c r="O119" s="167"/>
    </row>
    <row r="120" spans="1:15" s="12" customFormat="1" x14ac:dyDescent="0.35">
      <c r="A120" s="247" t="s">
        <v>105</v>
      </c>
      <c r="B120" s="190"/>
      <c r="C120" s="248"/>
      <c r="D120" s="200"/>
      <c r="E120" s="193"/>
      <c r="F120" s="249" t="e">
        <f ca="1">+F77+F117</f>
        <v>#NAME?</v>
      </c>
      <c r="G120" s="250"/>
      <c r="H120" s="200"/>
      <c r="I120" s="193"/>
      <c r="J120" s="249" t="e">
        <f ca="1">+J77+J117</f>
        <v>#NAME?</v>
      </c>
      <c r="K120" s="250"/>
      <c r="L120" s="188"/>
      <c r="M120" s="167"/>
      <c r="N120" s="167"/>
      <c r="O120" s="167"/>
    </row>
    <row r="121" spans="1:15" s="12" customFormat="1" ht="15" thickBot="1" x14ac:dyDescent="0.4">
      <c r="A121" s="254"/>
      <c r="B121" s="238"/>
      <c r="C121" s="248"/>
      <c r="D121" s="203"/>
      <c r="E121" s="204"/>
      <c r="F121" s="255"/>
      <c r="G121" s="250"/>
      <c r="H121" s="203"/>
      <c r="I121" s="204"/>
      <c r="J121" s="255"/>
      <c r="K121" s="250"/>
      <c r="L121" s="188"/>
      <c r="M121" s="167"/>
      <c r="N121" s="167"/>
      <c r="O121" s="167"/>
    </row>
    <row r="122" spans="1:15" s="12" customFormat="1" ht="15.5" thickTop="1" thickBot="1" x14ac:dyDescent="0.4">
      <c r="A122" s="256" t="s">
        <v>106</v>
      </c>
      <c r="B122" s="207"/>
      <c r="D122" s="200"/>
      <c r="E122" s="193"/>
      <c r="F122" s="192"/>
      <c r="G122" s="193"/>
      <c r="H122" s="200"/>
      <c r="I122" s="193"/>
      <c r="J122" s="192"/>
      <c r="K122" s="193"/>
      <c r="L122" s="188"/>
      <c r="M122" s="167"/>
      <c r="N122" s="167"/>
      <c r="O122" s="167"/>
    </row>
    <row r="123" spans="1:15" s="12" customFormat="1" ht="44" thickTop="1" x14ac:dyDescent="0.35">
      <c r="A123" s="251" t="s">
        <v>107</v>
      </c>
      <c r="B123" s="231"/>
      <c r="D123" s="196"/>
      <c r="E123" s="197"/>
      <c r="F123" s="198"/>
      <c r="G123" s="193"/>
      <c r="H123" s="196"/>
      <c r="I123" s="197"/>
      <c r="J123" s="198"/>
      <c r="K123" s="193"/>
      <c r="L123" s="188"/>
      <c r="M123" s="167"/>
      <c r="N123" s="167"/>
      <c r="O123" s="167"/>
    </row>
    <row r="124" spans="1:15" s="12" customFormat="1" x14ac:dyDescent="0.35">
      <c r="A124" s="206" t="s">
        <v>108</v>
      </c>
      <c r="B124" s="207"/>
      <c r="D124" s="200" t="e">
        <f ca="1">FISCA("2054_LPFX")+FISCA("2054_KFFX")+FISCA("2054_D9FX")</f>
        <v>#NAME?</v>
      </c>
      <c r="E124" s="193"/>
      <c r="F124" s="192" t="e">
        <f ca="1">-D124</f>
        <v>#NAME?</v>
      </c>
      <c r="G124" s="193"/>
      <c r="H124" s="200" t="e">
        <f ca="1">FISCA("2054_LPFX",-1)+FISCA("2054_KFFX",-1)+FISCA("2054_D9FX",-1)</f>
        <v>#NAME?</v>
      </c>
      <c r="I124" s="193"/>
      <c r="J124" s="192" t="e">
        <f ca="1">-H124</f>
        <v>#NAME?</v>
      </c>
      <c r="K124" s="193"/>
      <c r="L124" s="188"/>
      <c r="M124" s="219" t="s">
        <v>109</v>
      </c>
      <c r="N124" s="167"/>
      <c r="O124" s="167"/>
    </row>
    <row r="125" spans="1:15" s="12" customFormat="1" x14ac:dyDescent="0.35">
      <c r="A125" s="206" t="s">
        <v>110</v>
      </c>
      <c r="B125" s="207"/>
      <c r="D125" s="200" t="e">
        <f ca="1">-FISCA("2054_IY")-FISCA("2054_IN")-FISCA("2054_IO")</f>
        <v>#NAME?</v>
      </c>
      <c r="E125" s="193"/>
      <c r="F125" s="192" t="e">
        <f ca="1">-D125</f>
        <v>#NAME?</v>
      </c>
      <c r="G125" s="193"/>
      <c r="H125" s="200" t="e">
        <f ca="1">-FISCA("2054_IY",-1)-FISCA("2054_IN",-1)-FISCA("2054_IO",-1)</f>
        <v>#NAME?</v>
      </c>
      <c r="I125" s="193"/>
      <c r="J125" s="192" t="e">
        <f ca="1">-H125</f>
        <v>#NAME?</v>
      </c>
      <c r="K125" s="193"/>
      <c r="L125" s="188"/>
      <c r="M125" s="167"/>
      <c r="N125" s="167"/>
      <c r="O125" s="167"/>
    </row>
    <row r="126" spans="1:15" s="12" customFormat="1" x14ac:dyDescent="0.35">
      <c r="A126" s="206" t="s">
        <v>53</v>
      </c>
      <c r="B126" s="207"/>
      <c r="D126" s="257">
        <v>719125.29</v>
      </c>
      <c r="E126" s="193"/>
      <c r="F126" s="208">
        <f>+D126-E126</f>
        <v>719125.29</v>
      </c>
      <c r="G126" s="193"/>
      <c r="H126" s="200"/>
      <c r="I126" s="193"/>
      <c r="J126" s="208">
        <f>+H126-I126</f>
        <v>0</v>
      </c>
      <c r="K126" s="193"/>
      <c r="L126" s="188"/>
      <c r="M126" s="167" t="s">
        <v>111</v>
      </c>
      <c r="N126" s="167"/>
      <c r="O126" s="167"/>
    </row>
    <row r="127" spans="1:15" s="12" customFormat="1" ht="3" customHeight="1" x14ac:dyDescent="0.35">
      <c r="A127" s="206"/>
      <c r="B127" s="207"/>
      <c r="D127" s="200"/>
      <c r="E127" s="193"/>
      <c r="F127" s="192"/>
      <c r="G127" s="193"/>
      <c r="H127" s="200"/>
      <c r="I127" s="193"/>
      <c r="J127" s="192"/>
      <c r="K127" s="193"/>
      <c r="L127" s="188"/>
      <c r="M127" s="167"/>
      <c r="N127" s="167"/>
      <c r="O127" s="167"/>
    </row>
    <row r="128" spans="1:15" s="12" customFormat="1" x14ac:dyDescent="0.35">
      <c r="A128" s="199" t="s">
        <v>108</v>
      </c>
      <c r="B128" s="190"/>
      <c r="C128" s="234"/>
      <c r="D128" s="235" t="e">
        <f ca="1">SUM(D124:D127)</f>
        <v>#NAME?</v>
      </c>
      <c r="E128" s="193"/>
      <c r="F128" s="236" t="e">
        <f ca="1">SUM(F124:F127)</f>
        <v>#NAME?</v>
      </c>
      <c r="G128" s="237"/>
      <c r="H128" s="235" t="e">
        <f ca="1">SUM(H124:H127)</f>
        <v>#NAME?</v>
      </c>
      <c r="I128" s="193"/>
      <c r="J128" s="236" t="e">
        <f ca="1">SUM(J124:J127)</f>
        <v>#NAME?</v>
      </c>
      <c r="K128" s="237"/>
      <c r="L128" s="188"/>
      <c r="M128" s="167"/>
      <c r="N128" s="167"/>
      <c r="O128" s="167"/>
    </row>
    <row r="129" spans="1:15" s="12" customFormat="1" ht="15" thickBot="1" x14ac:dyDescent="0.4">
      <c r="A129" s="189"/>
      <c r="B129" s="238"/>
      <c r="D129" s="203"/>
      <c r="E129" s="204"/>
      <c r="F129" s="205"/>
      <c r="G129" s="193"/>
      <c r="H129" s="203"/>
      <c r="I129" s="204"/>
      <c r="J129" s="205"/>
      <c r="K129" s="193"/>
      <c r="L129" s="188"/>
      <c r="M129" s="167"/>
      <c r="N129" s="167"/>
      <c r="O129" s="167"/>
    </row>
    <row r="130" spans="1:15" s="12" customFormat="1" ht="15" thickTop="1" x14ac:dyDescent="0.35">
      <c r="A130" s="230"/>
      <c r="B130" s="231"/>
      <c r="D130" s="196"/>
      <c r="E130" s="197"/>
      <c r="F130" s="198"/>
      <c r="G130" s="193"/>
      <c r="H130" s="196"/>
      <c r="I130" s="197"/>
      <c r="J130" s="198"/>
      <c r="K130" s="193"/>
      <c r="L130" s="188"/>
      <c r="M130" s="167"/>
      <c r="N130" s="167"/>
      <c r="O130" s="167"/>
    </row>
    <row r="131" spans="1:15" s="12" customFormat="1" x14ac:dyDescent="0.35">
      <c r="A131" s="199" t="s">
        <v>112</v>
      </c>
      <c r="B131" s="190"/>
      <c r="D131" s="200" t="e">
        <f ca="1">-SUMCPT("756")+SUMCPT("756000")-SUMCPT("7751")--SUMCPT("7752")-SUMCPT("7758")</f>
        <v>#NAME?</v>
      </c>
      <c r="E131" s="193"/>
      <c r="F131" s="192" t="e">
        <f ca="1">+D131</f>
        <v>#NAME?</v>
      </c>
      <c r="G131" s="193"/>
      <c r="H131" s="200" t="e">
        <f ca="1">-SUMCPT("756",-1)+SUMCPT("756000",-1)-SUMCPT("7751",-1)--SUMCPT("7752",-1)-SUMCPT("7758",-1)</f>
        <v>#NAME?</v>
      </c>
      <c r="I131" s="193"/>
      <c r="J131" s="192" t="e">
        <f ca="1">+H131</f>
        <v>#NAME?</v>
      </c>
      <c r="K131" s="193"/>
      <c r="L131" s="188" t="s">
        <v>113</v>
      </c>
      <c r="M131" s="167"/>
      <c r="N131" s="167"/>
      <c r="O131" s="167"/>
    </row>
    <row r="132" spans="1:15" s="12" customFormat="1" ht="15" thickBot="1" x14ac:dyDescent="0.4">
      <c r="A132" s="189"/>
      <c r="B132" s="238"/>
      <c r="D132" s="203"/>
      <c r="E132" s="204"/>
      <c r="F132" s="205"/>
      <c r="G132" s="193"/>
      <c r="H132" s="203"/>
      <c r="I132" s="204"/>
      <c r="J132" s="205"/>
      <c r="K132" s="193"/>
      <c r="L132" s="188"/>
      <c r="M132" s="167"/>
      <c r="N132" s="167"/>
      <c r="O132" s="167"/>
    </row>
    <row r="133" spans="1:15" s="12" customFormat="1" ht="44" thickTop="1" x14ac:dyDescent="0.35">
      <c r="A133" s="251" t="s">
        <v>107</v>
      </c>
      <c r="B133" s="231"/>
      <c r="D133" s="196"/>
      <c r="E133" s="197"/>
      <c r="F133" s="198"/>
      <c r="G133" s="193"/>
      <c r="H133" s="196"/>
      <c r="I133" s="197"/>
      <c r="J133" s="198"/>
      <c r="K133" s="193"/>
      <c r="L133" s="188"/>
      <c r="M133" s="167"/>
      <c r="N133" s="167"/>
      <c r="O133" s="167"/>
    </row>
    <row r="134" spans="1:15" s="12" customFormat="1" x14ac:dyDescent="0.35">
      <c r="A134" s="206" t="s">
        <v>114</v>
      </c>
      <c r="B134" s="207"/>
      <c r="D134" s="200" t="e">
        <f ca="1">-FISCA("2054_LSFX")</f>
        <v>#NAME?</v>
      </c>
      <c r="E134" s="193"/>
      <c r="F134" s="192" t="e">
        <f ca="1">+D134-E134</f>
        <v>#NAME?</v>
      </c>
      <c r="G134" s="193"/>
      <c r="H134" s="200" t="e">
        <f ca="1">-FISCA("2054_LSFX",-1)</f>
        <v>#NAME?</v>
      </c>
      <c r="I134" s="193"/>
      <c r="J134" s="192" t="e">
        <f ca="1">+H134-I134</f>
        <v>#NAME?</v>
      </c>
      <c r="K134" s="193"/>
      <c r="L134" s="188"/>
      <c r="M134" s="219" t="s">
        <v>115</v>
      </c>
      <c r="N134" s="167"/>
      <c r="O134" s="167"/>
    </row>
    <row r="135" spans="1:15" s="12" customFormat="1" x14ac:dyDescent="0.35">
      <c r="A135" s="206" t="s">
        <v>53</v>
      </c>
      <c r="B135" s="207"/>
      <c r="D135" s="200">
        <v>-1124128701.45</v>
      </c>
      <c r="E135" s="193"/>
      <c r="F135" s="208">
        <f>+D135-E135</f>
        <v>-1124128701.45</v>
      </c>
      <c r="G135" s="193"/>
      <c r="H135" s="200"/>
      <c r="I135" s="193"/>
      <c r="J135" s="208">
        <f>+H135-I135</f>
        <v>0</v>
      </c>
      <c r="K135" s="193"/>
      <c r="L135" s="188" t="s">
        <v>116</v>
      </c>
      <c r="M135" s="167" t="s">
        <v>111</v>
      </c>
      <c r="N135" s="167"/>
      <c r="O135" s="167"/>
    </row>
    <row r="136" spans="1:15" s="12" customFormat="1" ht="3" customHeight="1" x14ac:dyDescent="0.35">
      <c r="A136" s="206"/>
      <c r="B136" s="207"/>
      <c r="D136" s="200"/>
      <c r="E136" s="193"/>
      <c r="F136" s="192"/>
      <c r="G136" s="193"/>
      <c r="H136" s="200"/>
      <c r="I136" s="193"/>
      <c r="J136" s="192"/>
      <c r="K136" s="193"/>
      <c r="L136" s="188"/>
      <c r="M136" s="167"/>
      <c r="N136" s="167"/>
      <c r="O136" s="167"/>
    </row>
    <row r="137" spans="1:15" s="12" customFormat="1" x14ac:dyDescent="0.35">
      <c r="A137" s="199" t="s">
        <v>117</v>
      </c>
      <c r="B137" s="190"/>
      <c r="C137" s="234"/>
      <c r="D137" s="235" t="e">
        <f ca="1">SUM(D134:D136)</f>
        <v>#NAME?</v>
      </c>
      <c r="E137" s="193"/>
      <c r="F137" s="236" t="e">
        <f ca="1">SUM(F134:F136)</f>
        <v>#NAME?</v>
      </c>
      <c r="G137" s="237"/>
      <c r="H137" s="235" t="e">
        <f ca="1">SUM(H134:H136)</f>
        <v>#NAME?</v>
      </c>
      <c r="I137" s="193"/>
      <c r="J137" s="236" t="e">
        <f ca="1">SUM(J134:J136)</f>
        <v>#NAME?</v>
      </c>
      <c r="K137" s="237"/>
      <c r="L137" s="188"/>
      <c r="M137" s="167"/>
      <c r="N137" s="167"/>
      <c r="O137" s="167"/>
    </row>
    <row r="138" spans="1:15" s="12" customFormat="1" ht="15" thickBot="1" x14ac:dyDescent="0.4">
      <c r="A138" s="189"/>
      <c r="B138" s="238"/>
      <c r="D138" s="203"/>
      <c r="E138" s="204"/>
      <c r="F138" s="205"/>
      <c r="G138" s="193"/>
      <c r="H138" s="203"/>
      <c r="I138" s="204"/>
      <c r="J138" s="205"/>
      <c r="K138" s="193"/>
      <c r="L138" s="188"/>
      <c r="M138" s="167"/>
      <c r="N138" s="167"/>
      <c r="O138" s="167"/>
    </row>
    <row r="139" spans="1:15" s="12" customFormat="1" ht="15" thickTop="1" x14ac:dyDescent="0.35">
      <c r="A139" s="230"/>
      <c r="B139" s="231"/>
      <c r="D139" s="196"/>
      <c r="E139" s="197"/>
      <c r="F139" s="198"/>
      <c r="G139" s="193"/>
      <c r="H139" s="196"/>
      <c r="I139" s="197"/>
      <c r="J139" s="198"/>
      <c r="K139" s="193"/>
      <c r="L139" s="188"/>
      <c r="M139" s="167"/>
      <c r="N139" s="167"/>
      <c r="O139" s="167"/>
    </row>
    <row r="140" spans="1:15" s="12" customFormat="1" x14ac:dyDescent="0.35">
      <c r="A140" s="258" t="s">
        <v>118</v>
      </c>
      <c r="B140" s="259"/>
      <c r="D140" s="200" t="e">
        <f ca="1">-SUMCPT("7756")</f>
        <v>#NAME?</v>
      </c>
      <c r="E140" s="193"/>
      <c r="F140" s="192" t="e">
        <f ca="1">+D140-E140</f>
        <v>#NAME?</v>
      </c>
      <c r="G140" s="193"/>
      <c r="H140" s="200" t="e">
        <f ca="1">-SUMCPT("7756",-1)</f>
        <v>#NAME?</v>
      </c>
      <c r="I140" s="193"/>
      <c r="J140" s="192" t="e">
        <f ca="1">+H140-I140</f>
        <v>#NAME?</v>
      </c>
      <c r="K140" s="193"/>
      <c r="L140" s="188" t="s">
        <v>119</v>
      </c>
      <c r="M140" s="167"/>
      <c r="N140" s="167"/>
      <c r="O140" s="167"/>
    </row>
    <row r="141" spans="1:15" s="12" customFormat="1" x14ac:dyDescent="0.35">
      <c r="A141" s="206" t="s">
        <v>53</v>
      </c>
      <c r="B141" s="207"/>
      <c r="D141" s="200"/>
      <c r="E141" s="193"/>
      <c r="F141" s="208">
        <f>+D141-E141</f>
        <v>0</v>
      </c>
      <c r="G141" s="193"/>
      <c r="H141" s="200"/>
      <c r="I141" s="193"/>
      <c r="J141" s="208">
        <f>+H141-I141</f>
        <v>0</v>
      </c>
      <c r="K141" s="193"/>
      <c r="L141" s="188" t="s">
        <v>116</v>
      </c>
      <c r="M141" s="167"/>
      <c r="N141" s="167"/>
      <c r="O141" s="167"/>
    </row>
    <row r="142" spans="1:15" s="12" customFormat="1" ht="3" customHeight="1" x14ac:dyDescent="0.35">
      <c r="A142" s="206"/>
      <c r="B142" s="207"/>
      <c r="D142" s="200"/>
      <c r="E142" s="193"/>
      <c r="F142" s="192"/>
      <c r="G142" s="193"/>
      <c r="H142" s="200"/>
      <c r="I142" s="193"/>
      <c r="J142" s="192"/>
      <c r="K142" s="193"/>
      <c r="L142" s="188"/>
      <c r="M142" s="167"/>
      <c r="N142" s="167"/>
      <c r="O142" s="167"/>
    </row>
    <row r="143" spans="1:15" s="12" customFormat="1" x14ac:dyDescent="0.35">
      <c r="A143" s="260" t="s">
        <v>120</v>
      </c>
      <c r="B143" s="226"/>
      <c r="C143" s="234"/>
      <c r="D143" s="235" t="e">
        <f ca="1">SUM(D140:D142)</f>
        <v>#NAME?</v>
      </c>
      <c r="E143" s="193"/>
      <c r="F143" s="236" t="e">
        <f ca="1">SUM(F140:F142)</f>
        <v>#NAME?</v>
      </c>
      <c r="G143" s="237"/>
      <c r="H143" s="235" t="e">
        <f ca="1">SUM(H140:H142)</f>
        <v>#NAME?</v>
      </c>
      <c r="I143" s="193"/>
      <c r="J143" s="236" t="e">
        <f ca="1">SUM(J140:J142)</f>
        <v>#NAME?</v>
      </c>
      <c r="K143" s="237"/>
      <c r="L143" s="188"/>
      <c r="M143" s="167"/>
      <c r="N143" s="167"/>
      <c r="O143" s="167"/>
    </row>
    <row r="144" spans="1:15" s="12" customFormat="1" ht="15" thickBot="1" x14ac:dyDescent="0.4">
      <c r="A144" s="189"/>
      <c r="B144" s="238"/>
      <c r="D144" s="203"/>
      <c r="E144" s="204"/>
      <c r="F144" s="205"/>
      <c r="G144" s="193"/>
      <c r="H144" s="203"/>
      <c r="I144" s="204"/>
      <c r="J144" s="205"/>
      <c r="K144" s="193"/>
      <c r="L144" s="188"/>
      <c r="M144" s="167"/>
      <c r="N144" s="167"/>
      <c r="O144" s="167"/>
    </row>
    <row r="145" spans="1:15" s="12" customFormat="1" ht="29.5" thickTop="1" x14ac:dyDescent="0.35">
      <c r="A145" s="251" t="s">
        <v>121</v>
      </c>
      <c r="B145" s="261"/>
      <c r="D145" s="196"/>
      <c r="E145" s="197"/>
      <c r="F145" s="198"/>
      <c r="G145" s="193"/>
      <c r="H145" s="196"/>
      <c r="I145" s="197"/>
      <c r="J145" s="198"/>
      <c r="K145" s="193"/>
      <c r="L145" s="188"/>
      <c r="M145" s="167"/>
      <c r="N145" s="167"/>
      <c r="O145" s="167"/>
    </row>
    <row r="146" spans="1:15" s="12" customFormat="1" x14ac:dyDescent="0.35">
      <c r="A146" s="206" t="s">
        <v>122</v>
      </c>
      <c r="B146" s="190"/>
      <c r="D146" s="200" t="e">
        <f ca="1">FISCA("2051_DZ")</f>
        <v>#NAME?</v>
      </c>
      <c r="E146" s="193" t="e">
        <f ca="1">PHASE.FISCA("DEC-PREV","2051_DZ")</f>
        <v>#NAME?</v>
      </c>
      <c r="F146" s="192" t="e">
        <f ca="1">+D146-E146</f>
        <v>#NAME?</v>
      </c>
      <c r="G146" s="193"/>
      <c r="H146" s="200" t="e">
        <f ca="1">FISCA("2051_DZ",-1)</f>
        <v>#NAME?</v>
      </c>
      <c r="I146" s="193" t="e">
        <f ca="1">PHASE.FISCA("DEC-PREV","2051_DZ",-1)</f>
        <v>#NAME?</v>
      </c>
      <c r="J146" s="192" t="e">
        <f ca="1">+H146-I146</f>
        <v>#NAME?</v>
      </c>
      <c r="K146" s="193"/>
      <c r="L146" s="188"/>
      <c r="M146" s="167"/>
      <c r="N146" s="167"/>
      <c r="O146" s="167"/>
    </row>
    <row r="147" spans="1:15" s="12" customFormat="1" x14ac:dyDescent="0.35">
      <c r="A147" s="206" t="s">
        <v>53</v>
      </c>
      <c r="B147" s="190"/>
      <c r="D147" s="200"/>
      <c r="E147" s="193"/>
      <c r="F147" s="208">
        <f>+D147-E147</f>
        <v>0</v>
      </c>
      <c r="G147" s="193"/>
      <c r="H147" s="200"/>
      <c r="I147" s="193"/>
      <c r="J147" s="208">
        <f>+H147-I147</f>
        <v>0</v>
      </c>
      <c r="K147" s="193"/>
      <c r="L147" s="188"/>
      <c r="M147" s="167"/>
      <c r="N147" s="167"/>
      <c r="O147" s="167"/>
    </row>
    <row r="148" spans="1:15" s="12" customFormat="1" x14ac:dyDescent="0.35">
      <c r="A148" s="262"/>
      <c r="B148" s="190"/>
      <c r="D148" s="200"/>
      <c r="E148" s="193"/>
      <c r="F148" s="192"/>
      <c r="G148" s="193"/>
      <c r="H148" s="200"/>
      <c r="I148" s="193"/>
      <c r="J148" s="192"/>
      <c r="K148" s="193"/>
      <c r="L148" s="188"/>
      <c r="M148" s="167"/>
      <c r="N148" s="167"/>
      <c r="O148" s="167"/>
    </row>
    <row r="149" spans="1:15" s="12" customFormat="1" x14ac:dyDescent="0.35">
      <c r="A149" s="199" t="s">
        <v>123</v>
      </c>
      <c r="B149" s="190"/>
      <c r="C149" s="234"/>
      <c r="D149" s="235" t="e">
        <f ca="1">SUM(D146:D148)</f>
        <v>#NAME?</v>
      </c>
      <c r="E149" s="193"/>
      <c r="F149" s="236" t="e">
        <f ca="1">SUM(F146:F148)</f>
        <v>#NAME?</v>
      </c>
      <c r="G149" s="237"/>
      <c r="H149" s="235" t="e">
        <f ca="1">SUM(H146:H148)</f>
        <v>#NAME?</v>
      </c>
      <c r="I149" s="193"/>
      <c r="J149" s="236" t="e">
        <f ca="1">SUM(J146:J148)</f>
        <v>#NAME?</v>
      </c>
      <c r="K149" s="237"/>
      <c r="L149" s="188" t="e">
        <f ca="1">LDESC("2051_DZ")</f>
        <v>#NAME?</v>
      </c>
      <c r="M149" s="167"/>
      <c r="N149" s="167"/>
      <c r="O149" s="167"/>
    </row>
    <row r="150" spans="1:15" s="12" customFormat="1" ht="15" thickBot="1" x14ac:dyDescent="0.4">
      <c r="A150" s="189"/>
      <c r="B150" s="238"/>
      <c r="D150" s="203"/>
      <c r="E150" s="204"/>
      <c r="F150" s="205"/>
      <c r="G150" s="193"/>
      <c r="H150" s="203"/>
      <c r="I150" s="204"/>
      <c r="J150" s="205"/>
      <c r="K150" s="193"/>
      <c r="L150" s="188"/>
      <c r="M150" s="167"/>
      <c r="N150" s="167"/>
      <c r="O150" s="167"/>
    </row>
    <row r="151" spans="1:15" s="12" customFormat="1" ht="29.5" thickTop="1" x14ac:dyDescent="0.35">
      <c r="A151" s="251" t="s">
        <v>124</v>
      </c>
      <c r="B151" s="231"/>
      <c r="D151" s="196"/>
      <c r="E151" s="197"/>
      <c r="F151" s="198"/>
      <c r="G151" s="193"/>
      <c r="H151" s="196"/>
      <c r="I151" s="197"/>
      <c r="J151" s="198"/>
      <c r="K151" s="193"/>
      <c r="L151" s="188"/>
      <c r="M151" s="167"/>
      <c r="N151" s="167"/>
      <c r="O151" s="167"/>
    </row>
    <row r="152" spans="1:15" s="12" customFormat="1" x14ac:dyDescent="0.35">
      <c r="A152" s="206" t="s">
        <v>125</v>
      </c>
      <c r="B152" s="207"/>
      <c r="D152" s="200" t="e">
        <f ca="1">FISCA("2050_BB")</f>
        <v>#NAME?</v>
      </c>
      <c r="E152" s="193" t="e">
        <f ca="1">PHASE.FISCA("DEC-PREV","2050_BB")</f>
        <v>#NAME?</v>
      </c>
      <c r="F152" s="192" t="e">
        <f ca="1">+E152-D152</f>
        <v>#NAME?</v>
      </c>
      <c r="G152" s="193"/>
      <c r="H152" s="200" t="e">
        <f ca="1">FISCA("2050_BB",-1)</f>
        <v>#NAME?</v>
      </c>
      <c r="I152" s="193" t="e">
        <f ca="1">PHASE.FISCA("DEC-PREV","2050_BB",-1)</f>
        <v>#NAME?</v>
      </c>
      <c r="J152" s="192" t="e">
        <f ca="1">+I152-H152</f>
        <v>#NAME?</v>
      </c>
      <c r="K152" s="193"/>
      <c r="L152" s="188" t="e">
        <f ca="1">LDESC("2050_BB")</f>
        <v>#NAME?</v>
      </c>
      <c r="M152" s="167"/>
      <c r="N152" s="167"/>
      <c r="O152" s="167"/>
    </row>
    <row r="153" spans="1:15" s="12" customFormat="1" ht="42" x14ac:dyDescent="0.35">
      <c r="A153" s="263" t="s">
        <v>126</v>
      </c>
      <c r="B153" s="264"/>
      <c r="D153" s="200">
        <v>-31694535.84</v>
      </c>
      <c r="E153" s="200">
        <v>-32641623.43</v>
      </c>
      <c r="F153" s="192">
        <f>+E153-D153</f>
        <v>-947087.58999999985</v>
      </c>
      <c r="G153" s="193"/>
      <c r="H153" s="200">
        <f>+H180</f>
        <v>0</v>
      </c>
      <c r="I153" s="200">
        <f>+I180</f>
        <v>0</v>
      </c>
      <c r="J153" s="192"/>
      <c r="K153" s="193"/>
      <c r="L153" s="188" t="s">
        <v>116</v>
      </c>
      <c r="M153" s="167"/>
      <c r="N153" s="167"/>
      <c r="O153" s="167"/>
    </row>
    <row r="154" spans="1:15" s="12" customFormat="1" x14ac:dyDescent="0.35">
      <c r="A154" s="206" t="s">
        <v>127</v>
      </c>
      <c r="B154" s="207"/>
      <c r="D154" s="200" t="e">
        <f ca="1">FISCA("2050_BFNET")</f>
        <v>#NAME?</v>
      </c>
      <c r="E154" s="193" t="e">
        <f ca="1">PHASE.FISCA("DEC-PREV","2050_BFNET")</f>
        <v>#NAME?</v>
      </c>
      <c r="F154" s="192" t="e">
        <f ca="1">+E154-D154</f>
        <v>#NAME?</v>
      </c>
      <c r="G154" s="193"/>
      <c r="H154" s="200" t="e">
        <f ca="1">FISCA("2050_BFNET",-1)</f>
        <v>#NAME?</v>
      </c>
      <c r="I154" s="193" t="e">
        <f ca="1">PHASE.FISCA("DEC-PREV","2050_BFNET",-1)</f>
        <v>#NAME?</v>
      </c>
      <c r="J154" s="192" t="e">
        <f ca="1">+I154-H154</f>
        <v>#NAME?</v>
      </c>
      <c r="K154" s="193"/>
      <c r="L154" s="188" t="e">
        <f ca="1">LDESC("2050_BF")</f>
        <v>#NAME?</v>
      </c>
      <c r="M154" s="167"/>
      <c r="N154" s="167"/>
      <c r="O154" s="167"/>
    </row>
    <row r="155" spans="1:15" s="12" customFormat="1" x14ac:dyDescent="0.35">
      <c r="A155" s="206" t="s">
        <v>128</v>
      </c>
      <c r="B155" s="207"/>
      <c r="D155" s="200">
        <v>35423.39</v>
      </c>
      <c r="E155" s="193"/>
      <c r="F155" s="192">
        <v>-35423.39</v>
      </c>
      <c r="G155" s="193"/>
      <c r="H155" s="200"/>
      <c r="I155" s="193"/>
      <c r="J155" s="192"/>
      <c r="K155" s="193"/>
      <c r="L155" s="167"/>
      <c r="M155" s="167"/>
      <c r="N155" s="167"/>
      <c r="O155" s="167"/>
    </row>
    <row r="156" spans="1:15" s="12" customFormat="1" x14ac:dyDescent="0.35">
      <c r="A156" s="206" t="s">
        <v>129</v>
      </c>
      <c r="B156" s="207"/>
      <c r="D156" s="200" t="e">
        <f ca="1">FISCA("2050_BD")</f>
        <v>#NAME?</v>
      </c>
      <c r="E156" s="193" t="e">
        <f ca="1">PHASE.FISCA("DEC-PREV","2050_BD")</f>
        <v>#NAME?</v>
      </c>
      <c r="F156" s="192" t="e">
        <f ca="1">+E156-D156</f>
        <v>#NAME?</v>
      </c>
      <c r="G156" s="193"/>
      <c r="H156" s="200" t="e">
        <f ca="1">FISCA("2050_BD",-1)</f>
        <v>#NAME?</v>
      </c>
      <c r="I156" s="193" t="e">
        <f ca="1">PHASE.FISCA("DEC-PREV","2050_BD",-1)</f>
        <v>#NAME?</v>
      </c>
      <c r="J156" s="192" t="e">
        <f ca="1">+I156-H156</f>
        <v>#NAME?</v>
      </c>
      <c r="K156" s="193"/>
      <c r="L156" s="188" t="e">
        <f ca="1">LDESC("2050_BDNET")</f>
        <v>#NAME?</v>
      </c>
      <c r="M156" s="167"/>
      <c r="N156" s="167"/>
      <c r="O156" s="167"/>
    </row>
    <row r="157" spans="1:15" s="12" customFormat="1" x14ac:dyDescent="0.35">
      <c r="A157" s="206" t="s">
        <v>53</v>
      </c>
      <c r="B157" s="207"/>
      <c r="D157" s="200"/>
      <c r="E157" s="193"/>
      <c r="F157" s="208">
        <f>+D157-E157</f>
        <v>0</v>
      </c>
      <c r="G157" s="193"/>
      <c r="H157" s="200"/>
      <c r="I157" s="193"/>
      <c r="J157" s="208">
        <f>+H157-I157</f>
        <v>0</v>
      </c>
      <c r="K157" s="193"/>
      <c r="L157" s="188"/>
      <c r="M157" s="167"/>
      <c r="N157" s="167"/>
      <c r="O157" s="167"/>
    </row>
    <row r="158" spans="1:15" s="12" customFormat="1" ht="3" customHeight="1" x14ac:dyDescent="0.35">
      <c r="A158" s="206"/>
      <c r="B158" s="207"/>
      <c r="D158" s="200"/>
      <c r="E158" s="193"/>
      <c r="F158" s="192"/>
      <c r="G158" s="193"/>
      <c r="H158" s="200"/>
      <c r="I158" s="193"/>
      <c r="J158" s="192"/>
      <c r="K158" s="193"/>
      <c r="L158" s="188"/>
      <c r="M158" s="167"/>
      <c r="N158" s="167"/>
      <c r="O158" s="167"/>
    </row>
    <row r="159" spans="1:15" s="12" customFormat="1" x14ac:dyDescent="0.35">
      <c r="A159" s="199" t="s">
        <v>130</v>
      </c>
      <c r="B159" s="190"/>
      <c r="C159" s="211"/>
      <c r="D159" s="212" t="e">
        <f ca="1">SUM(D152:D158)</f>
        <v>#NAME?</v>
      </c>
      <c r="E159" s="213" t="e">
        <f ca="1">SUM(E152:E158)</f>
        <v>#NAME?</v>
      </c>
      <c r="F159" s="214" t="e">
        <f ca="1">SUM(F152:F158)</f>
        <v>#NAME?</v>
      </c>
      <c r="G159" s="213"/>
      <c r="H159" s="212" t="e">
        <f ca="1">SUM(H152:H158)</f>
        <v>#NAME?</v>
      </c>
      <c r="I159" s="213" t="e">
        <f ca="1">SUM(I152:I158)</f>
        <v>#NAME?</v>
      </c>
      <c r="J159" s="214" t="e">
        <f ca="1">SUM(J152:J158)</f>
        <v>#NAME?</v>
      </c>
      <c r="K159" s="213"/>
      <c r="L159" s="188"/>
      <c r="M159" s="167"/>
      <c r="N159" s="167"/>
      <c r="O159" s="167"/>
    </row>
    <row r="160" spans="1:15" s="12" customFormat="1" ht="15" thickBot="1" x14ac:dyDescent="0.4">
      <c r="A160" s="189"/>
      <c r="B160" s="238"/>
      <c r="D160" s="203"/>
      <c r="E160" s="204"/>
      <c r="F160" s="205"/>
      <c r="G160" s="193"/>
      <c r="H160" s="203"/>
      <c r="I160" s="204"/>
      <c r="J160" s="205"/>
      <c r="K160" s="193"/>
      <c r="L160" s="188"/>
      <c r="M160" s="167"/>
      <c r="N160" s="167"/>
      <c r="O160" s="167"/>
    </row>
    <row r="161" spans="1:15" s="12" customFormat="1" ht="15" thickTop="1" x14ac:dyDescent="0.35">
      <c r="A161" s="265"/>
      <c r="B161" s="266"/>
      <c r="D161" s="196"/>
      <c r="E161" s="197"/>
      <c r="F161" s="198"/>
      <c r="G161" s="193"/>
      <c r="H161" s="196"/>
      <c r="I161" s="197"/>
      <c r="J161" s="198"/>
      <c r="K161" s="193"/>
      <c r="L161" s="188"/>
      <c r="M161" s="167"/>
      <c r="N161" s="167"/>
      <c r="O161" s="167"/>
    </row>
    <row r="162" spans="1:15" s="12" customFormat="1" x14ac:dyDescent="0.35">
      <c r="A162" s="247" t="s">
        <v>131</v>
      </c>
      <c r="B162" s="190"/>
      <c r="C162" s="248"/>
      <c r="D162" s="200"/>
      <c r="E162" s="193"/>
      <c r="F162" s="249" t="e">
        <f ca="1">+F128+F131+F137+F143+F149+F159</f>
        <v>#NAME?</v>
      </c>
      <c r="G162" s="250"/>
      <c r="H162" s="200"/>
      <c r="I162" s="193"/>
      <c r="J162" s="249" t="e">
        <f ca="1">+J128+J131+J137+J143+J149+J159</f>
        <v>#NAME?</v>
      </c>
      <c r="K162" s="250"/>
      <c r="L162" s="188"/>
      <c r="M162" s="167"/>
      <c r="N162" s="167"/>
      <c r="O162" s="167"/>
    </row>
    <row r="163" spans="1:15" s="12" customFormat="1" ht="15" thickBot="1" x14ac:dyDescent="0.4">
      <c r="A163" s="189"/>
      <c r="B163" s="238"/>
      <c r="D163" s="203"/>
      <c r="E163" s="204"/>
      <c r="F163" s="205"/>
      <c r="G163" s="193"/>
      <c r="H163" s="203"/>
      <c r="I163" s="204"/>
      <c r="J163" s="205"/>
      <c r="K163" s="193"/>
      <c r="L163" s="188"/>
      <c r="M163" s="167"/>
      <c r="N163" s="167"/>
      <c r="O163" s="167"/>
    </row>
    <row r="164" spans="1:15" s="12" customFormat="1" ht="15" thickTop="1" x14ac:dyDescent="0.35">
      <c r="A164" s="267" t="s">
        <v>121</v>
      </c>
      <c r="B164" s="266"/>
      <c r="D164" s="196"/>
      <c r="E164" s="197"/>
      <c r="F164" s="198"/>
      <c r="G164" s="193"/>
      <c r="H164" s="196"/>
      <c r="I164" s="197"/>
      <c r="J164" s="198"/>
      <c r="K164" s="193"/>
      <c r="L164" s="188" t="s">
        <v>132</v>
      </c>
      <c r="M164" s="167"/>
      <c r="N164" s="167"/>
      <c r="O164" s="167"/>
    </row>
    <row r="165" spans="1:15" s="12" customFormat="1" x14ac:dyDescent="0.35">
      <c r="A165" s="206" t="s">
        <v>133</v>
      </c>
      <c r="B165" s="207"/>
      <c r="D165" s="200" t="e">
        <f ca="1">FISCA("2051_DA")+FISCA("2051_DB")</f>
        <v>#NAME?</v>
      </c>
      <c r="E165" s="193" t="e">
        <f ca="1">PHASE.FISCA("DEC-PREV","2051_DA")+PHASE.FISCA("DEC-PREV","2051_DB")</f>
        <v>#NAME?</v>
      </c>
      <c r="F165" s="192" t="e">
        <f ca="1">+D165-E165</f>
        <v>#NAME?</v>
      </c>
      <c r="G165" s="193"/>
      <c r="H165" s="200" t="e">
        <f ca="1">FISCA("2051_DA",-1)+FISCA("2051_DB",-1)</f>
        <v>#NAME?</v>
      </c>
      <c r="I165" s="193" t="e">
        <f ca="1">PHASE.FISCA("DEC-PREV","2051_DA",-1)+PHASE.FISCA("DEC-PREV","2051_DB",-1)</f>
        <v>#NAME?</v>
      </c>
      <c r="J165" s="192" t="e">
        <f ca="1">+H165-I165</f>
        <v>#NAME?</v>
      </c>
      <c r="K165" s="193"/>
      <c r="L165" s="188"/>
      <c r="M165" s="167"/>
      <c r="N165" s="167"/>
      <c r="O165" s="167"/>
    </row>
    <row r="166" spans="1:15" s="12" customFormat="1" x14ac:dyDescent="0.35">
      <c r="A166" s="206" t="s">
        <v>134</v>
      </c>
      <c r="B166" s="207"/>
      <c r="D166" s="200"/>
      <c r="E166" s="193"/>
      <c r="F166" s="192"/>
      <c r="G166" s="193"/>
      <c r="H166" s="200"/>
      <c r="I166" s="193"/>
      <c r="J166" s="192"/>
      <c r="K166" s="193"/>
      <c r="L166" s="188" t="s">
        <v>116</v>
      </c>
      <c r="M166" s="167"/>
      <c r="N166" s="167"/>
      <c r="O166" s="167"/>
    </row>
    <row r="167" spans="1:15" s="12" customFormat="1" x14ac:dyDescent="0.35">
      <c r="A167" s="206" t="s">
        <v>135</v>
      </c>
      <c r="B167" s="207"/>
      <c r="D167" s="200" t="e">
        <f ca="1">FISCA("2051_DJ")-FISCA("2051_DJ",-1)</f>
        <v>#NAME?</v>
      </c>
      <c r="E167" s="193">
        <v>195356</v>
      </c>
      <c r="F167" s="192" t="e">
        <f ca="1">+D167-E167</f>
        <v>#NAME?</v>
      </c>
      <c r="G167" s="193"/>
      <c r="H167" s="200" t="e">
        <f ca="1">FISCA("2051_DJ",-1)-FISCA("2051_DJ",-1)</f>
        <v>#NAME?</v>
      </c>
      <c r="I167" s="193" t="e">
        <f ca="1">PHASE.FISCA("DEC-PREV","2051_DJ",-1)-PHASE.FISCA("DEC-PREV","2051_DJ",-1)</f>
        <v>#NAME?</v>
      </c>
      <c r="J167" s="192" t="e">
        <f ca="1">+H167-I167</f>
        <v>#NAME?</v>
      </c>
      <c r="K167" s="193"/>
      <c r="L167" s="188"/>
      <c r="M167" s="167"/>
      <c r="N167" s="167"/>
      <c r="O167" s="167"/>
    </row>
    <row r="168" spans="1:15" s="12" customFormat="1" x14ac:dyDescent="0.35">
      <c r="A168" s="206" t="s">
        <v>136</v>
      </c>
      <c r="B168" s="207"/>
      <c r="D168" s="200" t="e">
        <f ca="1">FISCA("2051_DC")+FISCA("2051_DD")+FISCA("2051_DE")+FISCA("2051_DF")+FISCA("2051_DG")</f>
        <v>#NAME?</v>
      </c>
      <c r="E168" s="193" t="e">
        <f ca="1">+PHASE.FISCA("DEC-PREV","2051_DC")+PHASE.FISCA("DEC-PREV","2051_DD")+PHASE.FISCA("DEC-PREV","2051_DE")+PHASE.FISCA("DEC-PREV","2051_DF")+PHASE.FISCA("DEC-PREV","2051_DG")</f>
        <v>#NAME?</v>
      </c>
      <c r="F168" s="192" t="e">
        <f ca="1">+D168-E168</f>
        <v>#NAME?</v>
      </c>
      <c r="G168" s="193"/>
      <c r="H168" s="200" t="e">
        <f ca="1">FISCA("2051_DC",-1)+FISCA("2051_DD",-1)+FISCA("2051_DE",-1)+FISCA("2051_DF",-1)+FISCA("2051_DG",-1)</f>
        <v>#NAME?</v>
      </c>
      <c r="I168" s="193" t="e">
        <f ca="1">+PHASE.FISCA("DEC-PREV","2051_DC",-1)+PHASE.FISCA("DEC-PREV","2051_DD",-1)+PHASE.FISCA("DEC-PREV","2051_DE",-1)+PHASE.FISCA("DEC-PREV","2051_DF",-1)+PHASE.FISCA("DEC-PREV","2051_DG",-1)</f>
        <v>#NAME?</v>
      </c>
      <c r="J168" s="192" t="e">
        <f ca="1">+H168-I168</f>
        <v>#NAME?</v>
      </c>
      <c r="K168" s="193"/>
      <c r="L168" s="188" t="s">
        <v>137</v>
      </c>
      <c r="M168" s="167"/>
      <c r="N168" s="167"/>
      <c r="O168" s="167"/>
    </row>
    <row r="169" spans="1:15" s="12" customFormat="1" x14ac:dyDescent="0.35">
      <c r="A169" s="206"/>
      <c r="B169" s="207"/>
      <c r="D169" s="200">
        <v>-614602.5</v>
      </c>
      <c r="E169" s="193"/>
      <c r="F169" s="192">
        <v>-614602.5</v>
      </c>
      <c r="G169" s="193"/>
      <c r="H169" s="200"/>
      <c r="I169" s="193"/>
      <c r="J169" s="192"/>
      <c r="K169" s="193"/>
      <c r="L169" s="188"/>
      <c r="M169" s="167"/>
      <c r="N169" s="167"/>
      <c r="O169" s="167"/>
    </row>
    <row r="170" spans="1:15" s="12" customFormat="1" x14ac:dyDescent="0.35">
      <c r="A170" s="199" t="s">
        <v>138</v>
      </c>
      <c r="B170" s="190"/>
      <c r="C170" s="211"/>
      <c r="D170" s="212" t="e">
        <f ca="1">SUM(D165:D169)</f>
        <v>#NAME?</v>
      </c>
      <c r="E170" s="213" t="e">
        <f ca="1">SUM(E165:E169)</f>
        <v>#NAME?</v>
      </c>
      <c r="F170" s="214" t="e">
        <f ca="1">SUM(F165:F169)</f>
        <v>#NAME?</v>
      </c>
      <c r="G170" s="213"/>
      <c r="H170" s="212" t="e">
        <f ca="1">SUM(H165:H169)</f>
        <v>#NAME?</v>
      </c>
      <c r="I170" s="213" t="e">
        <f ca="1">SUM(I165:I169)</f>
        <v>#NAME?</v>
      </c>
      <c r="J170" s="214" t="e">
        <f ca="1">SUM(J165:J169)</f>
        <v>#NAME?</v>
      </c>
      <c r="K170" s="213"/>
      <c r="L170" s="188"/>
      <c r="M170" s="167"/>
      <c r="N170" s="167"/>
      <c r="O170" s="167"/>
    </row>
    <row r="171" spans="1:15" s="12" customFormat="1" ht="15" thickBot="1" x14ac:dyDescent="0.4">
      <c r="A171" s="252"/>
      <c r="B171" s="253"/>
      <c r="D171" s="203"/>
      <c r="E171" s="204"/>
      <c r="F171" s="205"/>
      <c r="G171" s="193"/>
      <c r="H171" s="203"/>
      <c r="I171" s="204"/>
      <c r="J171" s="205"/>
      <c r="K171" s="193"/>
      <c r="L171" s="188"/>
      <c r="M171" s="167"/>
      <c r="N171" s="167"/>
      <c r="O171" s="167"/>
    </row>
    <row r="172" spans="1:15" s="12" customFormat="1" ht="15" thickTop="1" x14ac:dyDescent="0.35">
      <c r="A172" s="268" t="s">
        <v>139</v>
      </c>
      <c r="B172" s="261"/>
      <c r="D172" s="196"/>
      <c r="E172" s="197"/>
      <c r="F172" s="198"/>
      <c r="G172" s="193"/>
      <c r="H172" s="196"/>
      <c r="I172" s="197"/>
      <c r="J172" s="198"/>
      <c r="K172" s="193"/>
      <c r="L172" s="171"/>
      <c r="M172" s="167"/>
      <c r="N172" s="167"/>
      <c r="O172" s="167"/>
    </row>
    <row r="173" spans="1:15" s="12" customFormat="1" x14ac:dyDescent="0.35">
      <c r="A173" s="269" t="s">
        <v>140</v>
      </c>
      <c r="B173" s="207"/>
      <c r="D173" s="200"/>
      <c r="E173" s="193"/>
      <c r="F173" s="192">
        <v>338638573.23000002</v>
      </c>
      <c r="G173" s="193"/>
      <c r="H173" s="200"/>
      <c r="I173" s="193"/>
      <c r="J173" s="192"/>
      <c r="K173" s="193"/>
      <c r="L173" s="188"/>
      <c r="M173" s="167"/>
      <c r="N173" s="167"/>
      <c r="O173" s="167"/>
    </row>
    <row r="174" spans="1:15" s="12" customFormat="1" x14ac:dyDescent="0.35">
      <c r="A174" s="269" t="s">
        <v>141</v>
      </c>
      <c r="B174" s="207"/>
      <c r="D174" s="200"/>
      <c r="E174" s="193"/>
      <c r="F174" s="192"/>
      <c r="G174" s="193"/>
      <c r="H174" s="200"/>
      <c r="I174" s="193"/>
      <c r="J174" s="192"/>
      <c r="K174" s="193"/>
      <c r="L174" s="188"/>
      <c r="M174" s="167"/>
      <c r="N174" s="167"/>
      <c r="O174" s="167"/>
    </row>
    <row r="175" spans="1:15" s="12" customFormat="1" x14ac:dyDescent="0.35">
      <c r="A175" s="269"/>
      <c r="B175" s="207"/>
      <c r="D175" s="200"/>
      <c r="E175" s="193"/>
      <c r="F175" s="192"/>
      <c r="G175" s="193"/>
      <c r="H175" s="200"/>
      <c r="I175" s="193"/>
      <c r="J175" s="192"/>
      <c r="K175" s="193"/>
      <c r="L175" s="188"/>
      <c r="M175" s="167"/>
      <c r="N175" s="167"/>
      <c r="O175" s="167"/>
    </row>
    <row r="176" spans="1:15" s="12" customFormat="1" x14ac:dyDescent="0.35">
      <c r="A176" s="247" t="s">
        <v>142</v>
      </c>
      <c r="B176" s="190"/>
      <c r="D176" s="200"/>
      <c r="E176" s="193"/>
      <c r="F176" s="192">
        <v>338638573.23000002</v>
      </c>
      <c r="G176" s="193"/>
      <c r="H176" s="200"/>
      <c r="I176" s="193"/>
      <c r="J176" s="192">
        <v>0</v>
      </c>
      <c r="K176" s="193"/>
      <c r="L176" s="188" t="s">
        <v>143</v>
      </c>
      <c r="M176" s="167"/>
      <c r="N176" s="167"/>
      <c r="O176" s="167"/>
    </row>
    <row r="177" spans="1:15" s="12" customFormat="1" ht="15" thickBot="1" x14ac:dyDescent="0.4">
      <c r="A177" s="189"/>
      <c r="B177" s="238"/>
      <c r="D177" s="203"/>
      <c r="E177" s="204"/>
      <c r="F177" s="205"/>
      <c r="G177" s="193"/>
      <c r="H177" s="203"/>
      <c r="I177" s="204"/>
      <c r="J177" s="205"/>
      <c r="K177" s="193"/>
      <c r="L177" s="188"/>
      <c r="M177" s="167"/>
      <c r="N177" s="167"/>
      <c r="O177" s="167"/>
    </row>
    <row r="178" spans="1:15" s="12" customFormat="1" ht="29.5" thickTop="1" x14ac:dyDescent="0.35">
      <c r="A178" s="251" t="s">
        <v>92</v>
      </c>
      <c r="B178" s="261"/>
      <c r="D178" s="196"/>
      <c r="E178" s="197"/>
      <c r="F178" s="198"/>
      <c r="G178" s="193"/>
      <c r="H178" s="196"/>
      <c r="I178" s="197"/>
      <c r="J178" s="198"/>
      <c r="K178" s="193"/>
      <c r="L178" s="188" t="s">
        <v>144</v>
      </c>
      <c r="M178" s="167"/>
      <c r="N178" s="167"/>
      <c r="O178" s="167"/>
    </row>
    <row r="179" spans="1:15" s="12" customFormat="1" x14ac:dyDescent="0.35">
      <c r="A179" s="206" t="s">
        <v>145</v>
      </c>
      <c r="B179" s="207"/>
      <c r="D179" s="200" t="e">
        <f ca="1">FISCA("2051_DS")+FISCA("2051_DT")+FISCA("2051_DU")+FISCA("2051_DV")-FISCA("2051_EH")</f>
        <v>#NAME?</v>
      </c>
      <c r="E179" s="193" t="e">
        <f ca="1">+PHASE.FISCA("DEC-PREV","2051_DS")+PHASE.FISCA("DEC-PREV","2051_DT")+PHASE.FISCA("DEC-PREV","2051_DU")+PHASE.FISCA("DEC-PREV","2051_DV")-PHASE.FISCA("DEC-PREV","2051_EH")</f>
        <v>#NAME?</v>
      </c>
      <c r="F179" s="192" t="e">
        <f ca="1">+D179-E179</f>
        <v>#NAME?</v>
      </c>
      <c r="G179" s="193"/>
      <c r="H179" s="200" t="e">
        <f ca="1">FISCA("2051_DS",-1)+FISCA("2051_DT",-1)+FISCA("2051_DU",-1)+FISCA("2051_DV",-1)-FISCA("2051_EH",-1)</f>
        <v>#NAME?</v>
      </c>
      <c r="I179" s="193" t="e">
        <f ca="1">+PHASE.FISCA("DEC-PREV","2051_DS",-1)+PHASE.FISCA("DEC-PREV","2051_DT",-1)+PHASE.FISCA("DEC-PREV","2051_DU",-1)+PHASE.FISCA("DEC-PREV","2051_DV",-1)-PHASE.FISCA("DEC-PREV","2051_EH",-1)</f>
        <v>#NAME?</v>
      </c>
      <c r="J179" s="192" t="e">
        <f ca="1">+H179-I179</f>
        <v>#NAME?</v>
      </c>
      <c r="K179" s="193"/>
      <c r="L179" s="188"/>
      <c r="M179" s="167"/>
      <c r="N179" s="167"/>
      <c r="O179" s="167"/>
    </row>
    <row r="180" spans="1:15" s="12" customFormat="1" ht="42" x14ac:dyDescent="0.35">
      <c r="A180" s="263" t="s">
        <v>126</v>
      </c>
      <c r="B180" s="264"/>
      <c r="D180" s="200">
        <v>947087.59</v>
      </c>
      <c r="E180" s="193"/>
      <c r="F180" s="192">
        <f>+D180-E180</f>
        <v>947087.59</v>
      </c>
      <c r="G180" s="193"/>
      <c r="H180" s="200"/>
      <c r="I180" s="193"/>
      <c r="J180" s="192"/>
      <c r="K180" s="193"/>
      <c r="L180" s="188"/>
      <c r="M180" s="167"/>
      <c r="N180" s="167"/>
      <c r="O180" s="167"/>
    </row>
    <row r="181" spans="1:15" s="12" customFormat="1" x14ac:dyDescent="0.35">
      <c r="A181" s="206" t="s">
        <v>146</v>
      </c>
      <c r="D181" s="200"/>
      <c r="E181" s="193"/>
      <c r="F181" s="192">
        <f>+D181-E181</f>
        <v>0</v>
      </c>
      <c r="G181" s="193"/>
      <c r="H181" s="200"/>
      <c r="I181" s="193"/>
      <c r="J181" s="192"/>
      <c r="K181" s="193"/>
      <c r="L181" s="188"/>
      <c r="M181" s="167"/>
      <c r="N181" s="167"/>
      <c r="O181" s="167"/>
    </row>
    <row r="182" spans="1:15" s="12" customFormat="1" x14ac:dyDescent="0.35">
      <c r="A182" s="199" t="s">
        <v>147</v>
      </c>
      <c r="B182" s="190"/>
      <c r="C182" s="270"/>
      <c r="D182" s="271" t="e">
        <f ca="1">SUM(D179:D181)</f>
        <v>#NAME?</v>
      </c>
      <c r="E182" s="193"/>
      <c r="F182" s="272" t="e">
        <f ca="1">SUM(F179:F181)</f>
        <v>#NAME?</v>
      </c>
      <c r="G182" s="273"/>
      <c r="H182" s="271" t="e">
        <f ca="1">SUM(H179:H181)</f>
        <v>#NAME?</v>
      </c>
      <c r="I182" s="193"/>
      <c r="J182" s="272" t="e">
        <f ca="1">SUM(J179:J181)</f>
        <v>#NAME?</v>
      </c>
      <c r="K182" s="273"/>
      <c r="L182" s="188"/>
      <c r="M182" s="167"/>
      <c r="N182" s="167"/>
      <c r="O182" s="167"/>
    </row>
    <row r="183" spans="1:15" s="12" customFormat="1" x14ac:dyDescent="0.35">
      <c r="A183" s="225"/>
      <c r="D183" s="200"/>
      <c r="E183" s="193"/>
      <c r="F183" s="192"/>
      <c r="G183" s="193"/>
      <c r="H183" s="200"/>
      <c r="I183" s="193"/>
      <c r="J183" s="192"/>
      <c r="K183" s="193"/>
      <c r="L183" s="188"/>
      <c r="M183" s="167"/>
      <c r="N183" s="167"/>
      <c r="O183" s="167"/>
    </row>
    <row r="184" spans="1:15" s="12" customFormat="1" ht="15" thickBot="1" x14ac:dyDescent="0.4">
      <c r="A184" s="189"/>
      <c r="B184" s="238"/>
      <c r="D184" s="203"/>
      <c r="E184" s="204"/>
      <c r="F184" s="205"/>
      <c r="G184" s="193"/>
      <c r="H184" s="203"/>
      <c r="I184" s="204"/>
      <c r="J184" s="205"/>
      <c r="K184" s="193"/>
      <c r="L184" s="188"/>
      <c r="M184" s="167"/>
      <c r="N184" s="167"/>
      <c r="O184" s="167"/>
    </row>
    <row r="185" spans="1:15" s="12" customFormat="1" ht="15" thickTop="1" x14ac:dyDescent="0.35">
      <c r="A185" s="268" t="s">
        <v>139</v>
      </c>
      <c r="B185" s="231"/>
      <c r="D185" s="196"/>
      <c r="E185" s="197"/>
      <c r="F185" s="198"/>
      <c r="G185" s="193"/>
      <c r="H185" s="196"/>
      <c r="I185" s="197"/>
      <c r="J185" s="198"/>
      <c r="K185" s="193"/>
      <c r="L185" s="188"/>
      <c r="M185" s="167"/>
      <c r="N185" s="167"/>
      <c r="O185" s="167"/>
    </row>
    <row r="186" spans="1:15" s="12" customFormat="1" x14ac:dyDescent="0.35">
      <c r="A186" s="247" t="s">
        <v>148</v>
      </c>
      <c r="B186" s="190"/>
      <c r="D186" s="200"/>
      <c r="E186" s="193"/>
      <c r="F186" s="192">
        <v>0</v>
      </c>
      <c r="G186" s="193"/>
      <c r="H186" s="200"/>
      <c r="I186" s="193"/>
      <c r="J186" s="192">
        <v>0</v>
      </c>
      <c r="K186" s="193"/>
      <c r="L186" s="188" t="s">
        <v>149</v>
      </c>
      <c r="M186" s="167"/>
      <c r="N186" s="167"/>
      <c r="O186" s="167"/>
    </row>
    <row r="187" spans="1:15" s="12" customFormat="1" ht="15" thickBot="1" x14ac:dyDescent="0.4">
      <c r="A187" s="189"/>
      <c r="B187" s="238"/>
      <c r="D187" s="203"/>
      <c r="E187" s="204"/>
      <c r="F187" s="205"/>
      <c r="G187" s="193"/>
      <c r="H187" s="203"/>
      <c r="I187" s="204"/>
      <c r="J187" s="205"/>
      <c r="K187" s="193"/>
      <c r="L187" s="188"/>
      <c r="M187" s="167"/>
      <c r="N187" s="167"/>
      <c r="O187" s="167"/>
    </row>
    <row r="188" spans="1:15" s="12" customFormat="1" ht="29" thickTop="1" x14ac:dyDescent="0.35">
      <c r="A188" s="274" t="s">
        <v>150</v>
      </c>
      <c r="B188" s="207"/>
      <c r="D188" s="200"/>
      <c r="E188" s="193"/>
      <c r="F188" s="192"/>
      <c r="G188" s="193"/>
      <c r="H188" s="200"/>
      <c r="I188" s="193"/>
      <c r="J188" s="192"/>
      <c r="K188" s="193"/>
      <c r="L188" s="188" t="s">
        <v>151</v>
      </c>
      <c r="M188" s="167"/>
      <c r="N188" s="167"/>
      <c r="O188" s="167"/>
    </row>
    <row r="189" spans="1:15" s="12" customFormat="1" x14ac:dyDescent="0.35">
      <c r="A189" s="199" t="s">
        <v>152</v>
      </c>
      <c r="B189" s="190"/>
      <c r="D189" s="275">
        <v>0</v>
      </c>
      <c r="E189" s="193"/>
      <c r="F189" s="192">
        <f>-D189</f>
        <v>0</v>
      </c>
      <c r="G189" s="193"/>
      <c r="H189" s="200" t="e">
        <f ca="1">+FISCA("2058C_ZE",-1)+FISCA("2058C_ZF",-1)</f>
        <v>#NAME?</v>
      </c>
      <c r="I189" s="193"/>
      <c r="J189" s="192" t="e">
        <f ca="1">-H189</f>
        <v>#NAME?</v>
      </c>
      <c r="K189" s="193"/>
      <c r="L189" s="188"/>
      <c r="M189" s="167"/>
      <c r="N189" s="167"/>
      <c r="O189" s="167"/>
    </row>
    <row r="190" spans="1:15" s="12" customFormat="1" x14ac:dyDescent="0.35">
      <c r="A190" s="199"/>
      <c r="B190" s="190"/>
      <c r="D190" s="200"/>
      <c r="E190" s="193"/>
      <c r="F190" s="192"/>
      <c r="G190" s="193"/>
      <c r="H190" s="200"/>
      <c r="I190" s="193"/>
      <c r="J190" s="192"/>
      <c r="K190" s="193"/>
      <c r="L190" s="188"/>
      <c r="M190" s="167"/>
      <c r="N190" s="167"/>
      <c r="O190" s="167"/>
    </row>
    <row r="191" spans="1:15" s="12" customFormat="1" ht="15" thickBot="1" x14ac:dyDescent="0.4">
      <c r="A191" s="206"/>
      <c r="B191" s="207"/>
      <c r="D191" s="200"/>
      <c r="E191" s="193"/>
      <c r="F191" s="192"/>
      <c r="G191" s="193"/>
      <c r="H191" s="200"/>
      <c r="I191" s="193"/>
      <c r="J191" s="192"/>
      <c r="K191" s="193"/>
      <c r="L191" s="188" t="s">
        <v>153</v>
      </c>
      <c r="M191" s="167"/>
      <c r="N191" s="167"/>
      <c r="O191" s="167"/>
    </row>
    <row r="192" spans="1:15" s="12" customFormat="1" ht="15" thickTop="1" x14ac:dyDescent="0.35">
      <c r="A192" s="276"/>
      <c r="B192" s="261"/>
      <c r="D192" s="196"/>
      <c r="E192" s="197"/>
      <c r="F192" s="198"/>
      <c r="G192" s="193"/>
      <c r="H192" s="196"/>
      <c r="I192" s="197"/>
      <c r="J192" s="198"/>
      <c r="K192" s="193"/>
      <c r="L192" s="188"/>
      <c r="M192" s="167"/>
      <c r="N192" s="167"/>
      <c r="O192" s="167"/>
    </row>
    <row r="193" spans="1:15" s="12" customFormat="1" x14ac:dyDescent="0.35">
      <c r="A193" s="247" t="s">
        <v>154</v>
      </c>
      <c r="B193" s="190"/>
      <c r="C193" s="248"/>
      <c r="D193" s="200"/>
      <c r="E193" s="193"/>
      <c r="F193" s="249" t="e">
        <f ca="1">F182+F189</f>
        <v>#NAME?</v>
      </c>
      <c r="G193" s="250"/>
      <c r="H193" s="200"/>
      <c r="I193" s="193"/>
      <c r="J193" s="249" t="e">
        <f ca="1">+J170+J182+J189</f>
        <v>#NAME?</v>
      </c>
      <c r="K193" s="250"/>
      <c r="L193" s="188"/>
      <c r="M193" s="167"/>
      <c r="N193" s="167"/>
      <c r="O193" s="167"/>
    </row>
    <row r="194" spans="1:15" s="12" customFormat="1" ht="15" thickBot="1" x14ac:dyDescent="0.4">
      <c r="A194" s="189"/>
      <c r="B194" s="238"/>
      <c r="D194" s="203"/>
      <c r="E194" s="204"/>
      <c r="F194" s="205"/>
      <c r="G194" s="193"/>
      <c r="H194" s="203"/>
      <c r="I194" s="204"/>
      <c r="J194" s="205"/>
      <c r="K194" s="193"/>
      <c r="L194" s="188"/>
      <c r="M194" s="167"/>
      <c r="N194" s="167"/>
      <c r="O194" s="167"/>
    </row>
    <row r="195" spans="1:15" s="12" customFormat="1" ht="15" thickTop="1" x14ac:dyDescent="0.35">
      <c r="A195" s="207"/>
      <c r="B195" s="207"/>
      <c r="D195" s="193"/>
      <c r="E195" s="193"/>
      <c r="F195" s="193"/>
      <c r="G195" s="193"/>
      <c r="H195" s="193"/>
      <c r="I195" s="193"/>
      <c r="J195" s="193"/>
      <c r="K195" s="193"/>
      <c r="L195" s="188"/>
      <c r="M195" s="167"/>
      <c r="N195" s="167"/>
      <c r="O195" s="167"/>
    </row>
    <row r="196" spans="1:15" s="12" customFormat="1" x14ac:dyDescent="0.35">
      <c r="F196" s="193"/>
      <c r="G196" s="193"/>
      <c r="H196" s="193"/>
      <c r="I196" s="193"/>
      <c r="J196" s="193"/>
      <c r="K196" s="193"/>
      <c r="L196" s="188"/>
      <c r="M196" s="167"/>
      <c r="N196" s="167"/>
      <c r="O196" s="167"/>
    </row>
    <row r="197" spans="1:15" s="12" customFormat="1" x14ac:dyDescent="0.35">
      <c r="F197" s="193"/>
      <c r="G197" s="193"/>
      <c r="H197" s="193"/>
      <c r="I197" s="193"/>
      <c r="J197" s="193"/>
      <c r="K197" s="193"/>
      <c r="L197" s="188"/>
      <c r="M197" s="167"/>
      <c r="N197" s="167"/>
      <c r="O197" s="167"/>
    </row>
    <row r="198" spans="1:15" s="12" customFormat="1" x14ac:dyDescent="0.35">
      <c r="A198" s="277" t="s">
        <v>155</v>
      </c>
      <c r="B198" s="277"/>
      <c r="D198" s="193"/>
      <c r="E198" s="193"/>
      <c r="F198" s="193"/>
      <c r="G198" s="193"/>
      <c r="H198" s="193"/>
      <c r="I198" s="193"/>
      <c r="J198" s="193"/>
      <c r="K198" s="193"/>
      <c r="L198" s="188"/>
      <c r="M198" s="167"/>
      <c r="N198" s="167"/>
      <c r="O198" s="167"/>
    </row>
    <row r="199" spans="1:15" s="12" customFormat="1" x14ac:dyDescent="0.35">
      <c r="A199" s="278"/>
      <c r="B199" s="278"/>
      <c r="D199" s="193"/>
      <c r="E199" s="193"/>
      <c r="F199" s="193"/>
      <c r="G199" s="193"/>
      <c r="H199" s="193"/>
      <c r="I199" s="193"/>
      <c r="J199" s="193"/>
      <c r="K199" s="193"/>
      <c r="L199" s="188"/>
      <c r="M199" s="167"/>
      <c r="N199" s="167"/>
      <c r="O199" s="167"/>
    </row>
    <row r="200" spans="1:15" s="12" customFormat="1" x14ac:dyDescent="0.35">
      <c r="A200" s="207" t="s">
        <v>156</v>
      </c>
      <c r="B200" s="207"/>
      <c r="D200" s="193" t="e">
        <f ca="1">FISCA("2050_CD")</f>
        <v>#NAME?</v>
      </c>
      <c r="E200" s="193" t="e">
        <f ca="1">PHASE.FISCA("DEC-PREV","2050_CD")</f>
        <v>#NAME?</v>
      </c>
      <c r="F200" s="193" t="e">
        <f ca="1">+D200-E200</f>
        <v>#NAME?</v>
      </c>
      <c r="G200" s="193"/>
      <c r="H200" s="193" t="e">
        <f ca="1">FISCA("2050_CD")</f>
        <v>#NAME?</v>
      </c>
      <c r="I200" s="193" t="e">
        <f ca="1">PHASE.FISCA("DEC-PREV","2050_CD",-1)</f>
        <v>#NAME?</v>
      </c>
      <c r="J200" s="193" t="e">
        <f ca="1">+H200-I200</f>
        <v>#NAME?</v>
      </c>
      <c r="K200" s="193"/>
      <c r="L200" s="188"/>
      <c r="M200" s="167"/>
      <c r="N200" s="167"/>
      <c r="O200" s="167"/>
    </row>
    <row r="201" spans="1:15" s="12" customFormat="1" x14ac:dyDescent="0.35">
      <c r="A201" s="207" t="s">
        <v>157</v>
      </c>
      <c r="B201" s="207"/>
      <c r="D201" s="193" t="e">
        <f ca="1">FISCA("2050_CF")</f>
        <v>#NAME?</v>
      </c>
      <c r="E201" s="193" t="e">
        <f ca="1">PHASE.FISCA("DEC-PREV","2050_CF")</f>
        <v>#NAME?</v>
      </c>
      <c r="F201" s="193" t="e">
        <f ca="1">+D201-E201</f>
        <v>#NAME?</v>
      </c>
      <c r="G201" s="193"/>
      <c r="H201" s="193" t="e">
        <f ca="1">FISCA("2050_CF",-1)</f>
        <v>#NAME?</v>
      </c>
      <c r="I201" s="193" t="e">
        <f ca="1">PHASE.FISCA("DEC-PREV","2050_CF",-1)</f>
        <v>#NAME?</v>
      </c>
      <c r="J201" s="193" t="e">
        <f ca="1">+H201-I201</f>
        <v>#NAME?</v>
      </c>
      <c r="K201" s="193"/>
      <c r="L201" s="188" t="e">
        <f ca="1">LDESC("2050_CF")</f>
        <v>#NAME?</v>
      </c>
      <c r="M201" s="167"/>
      <c r="N201" s="167"/>
      <c r="O201" s="167"/>
    </row>
    <row r="202" spans="1:15" s="12" customFormat="1" x14ac:dyDescent="0.35">
      <c r="A202" s="207" t="s">
        <v>158</v>
      </c>
      <c r="B202" s="207"/>
      <c r="D202" s="193" t="e">
        <f ca="1">FISCA("2051_EH")</f>
        <v>#NAME?</v>
      </c>
      <c r="E202" s="193" t="e">
        <f ca="1">PHASE.FISCA("DEC-PREV","2051_EH")</f>
        <v>#NAME?</v>
      </c>
      <c r="F202" s="193" t="e">
        <f ca="1">+D202-E202</f>
        <v>#NAME?</v>
      </c>
      <c r="G202" s="193"/>
      <c r="H202" s="193" t="e">
        <f ca="1">FISCA("2051_EH",-1)</f>
        <v>#NAME?</v>
      </c>
      <c r="I202" s="193" t="e">
        <f ca="1">PHASE.FISCA("DEC-PREV","2051_EH",-1)</f>
        <v>#NAME?</v>
      </c>
      <c r="J202" s="193" t="e">
        <f ca="1">+H202-I202</f>
        <v>#NAME?</v>
      </c>
      <c r="K202" s="193"/>
      <c r="L202" s="188" t="e">
        <f ca="1">LDESC("2051_EH")</f>
        <v>#NAME?</v>
      </c>
      <c r="M202" s="167"/>
      <c r="N202" s="167"/>
      <c r="O202" s="167"/>
    </row>
    <row r="203" spans="1:15" s="12" customFormat="1" x14ac:dyDescent="0.35">
      <c r="A203" s="278"/>
      <c r="B203" s="278"/>
      <c r="D203" s="193"/>
      <c r="E203" s="193"/>
      <c r="F203" s="193"/>
      <c r="G203" s="193"/>
      <c r="H203" s="193"/>
      <c r="I203" s="193"/>
      <c r="J203" s="193"/>
      <c r="K203" s="193"/>
      <c r="L203" s="188"/>
      <c r="M203" s="167"/>
      <c r="N203" s="167"/>
      <c r="O203" s="167"/>
    </row>
    <row r="204" spans="1:15" s="12" customFormat="1" x14ac:dyDescent="0.35">
      <c r="A204" s="279" t="s">
        <v>159</v>
      </c>
      <c r="B204" s="279"/>
      <c r="C204" s="226"/>
      <c r="D204" s="229" t="e">
        <f ca="1">+D200+D201-D202</f>
        <v>#NAME?</v>
      </c>
      <c r="E204" s="229" t="e">
        <f ca="1">+E200+E201-E202</f>
        <v>#NAME?</v>
      </c>
      <c r="F204" s="229" t="e">
        <f ca="1">+F200+F201-F202</f>
        <v>#NAME?</v>
      </c>
      <c r="G204" s="229"/>
      <c r="H204" s="229" t="e">
        <f ca="1">+H200+H201-H202</f>
        <v>#NAME?</v>
      </c>
      <c r="I204" s="229" t="e">
        <f ca="1">+I200+I201-I202</f>
        <v>#NAME?</v>
      </c>
      <c r="J204" s="229" t="e">
        <f ca="1">+J200+J201-J202</f>
        <v>#NAME?</v>
      </c>
      <c r="K204" s="229"/>
      <c r="L204" s="171"/>
      <c r="M204" s="167"/>
      <c r="N204" s="167"/>
      <c r="O204" s="167"/>
    </row>
    <row r="205" spans="1:15" s="12" customFormat="1" x14ac:dyDescent="0.35">
      <c r="A205" s="279"/>
      <c r="B205" s="279"/>
      <c r="D205" s="229"/>
      <c r="E205" s="193"/>
      <c r="F205" s="193"/>
      <c r="G205" s="193"/>
      <c r="H205" s="229"/>
      <c r="I205" s="193"/>
      <c r="J205" s="193"/>
      <c r="K205" s="193"/>
      <c r="L205" s="188"/>
      <c r="M205" s="167"/>
      <c r="N205" s="167"/>
      <c r="O205" s="167"/>
    </row>
    <row r="206" spans="1:15" s="12" customFormat="1" x14ac:dyDescent="0.35">
      <c r="A206" s="279" t="s">
        <v>160</v>
      </c>
      <c r="B206" s="279"/>
      <c r="C206" s="226"/>
      <c r="D206" s="229" t="e">
        <f ca="1">+D204-E204</f>
        <v>#NAME?</v>
      </c>
      <c r="E206" s="229"/>
      <c r="F206" s="229"/>
      <c r="G206" s="229"/>
      <c r="H206" s="229" t="e">
        <f ca="1">+H204-I204</f>
        <v>#NAME?</v>
      </c>
      <c r="I206" s="229"/>
      <c r="J206" s="229"/>
      <c r="K206" s="229"/>
      <c r="L206" s="171"/>
      <c r="M206" s="167"/>
      <c r="N206" s="167"/>
      <c r="O206" s="167"/>
    </row>
    <row r="207" spans="1:15" s="12" customFormat="1" x14ac:dyDescent="0.35">
      <c r="A207" s="278"/>
      <c r="B207" s="278"/>
      <c r="C207" s="259"/>
      <c r="D207" s="280"/>
      <c r="E207" s="280"/>
      <c r="F207" s="280"/>
      <c r="G207" s="280"/>
      <c r="H207" s="280"/>
      <c r="I207" s="280"/>
      <c r="J207" s="280"/>
      <c r="K207" s="280"/>
      <c r="L207" s="188"/>
      <c r="M207" s="167"/>
      <c r="N207" s="167"/>
      <c r="O207" s="167"/>
    </row>
    <row r="208" spans="1:15" s="12" customFormat="1" x14ac:dyDescent="0.35">
      <c r="A208" s="279" t="s">
        <v>161</v>
      </c>
      <c r="B208" s="279"/>
      <c r="C208" s="226"/>
      <c r="D208" s="229"/>
      <c r="E208" s="229"/>
      <c r="F208" s="229" t="e">
        <f ca="1">+F77+F117+F162+F193</f>
        <v>#NAME?</v>
      </c>
      <c r="G208" s="229"/>
      <c r="H208" s="229"/>
      <c r="I208" s="229"/>
      <c r="J208" s="229" t="e">
        <f ca="1">+J77+J117+J162+J193</f>
        <v>#NAME?</v>
      </c>
      <c r="K208" s="229"/>
      <c r="L208" s="188"/>
      <c r="M208" s="167"/>
      <c r="N208" s="167"/>
      <c r="O208" s="167"/>
    </row>
    <row r="209" spans="1:15" s="12" customFormat="1" x14ac:dyDescent="0.35">
      <c r="A209" s="278"/>
      <c r="B209" s="278"/>
      <c r="C209" s="259"/>
      <c r="D209" s="280"/>
      <c r="E209" s="280"/>
      <c r="F209" s="280"/>
      <c r="G209" s="280"/>
      <c r="H209" s="280"/>
      <c r="I209" s="280"/>
      <c r="J209" s="280"/>
      <c r="K209" s="280"/>
      <c r="L209" s="188"/>
      <c r="M209" s="167"/>
      <c r="N209" s="167"/>
      <c r="O209" s="167"/>
    </row>
    <row r="210" spans="1:15" s="12" customFormat="1" x14ac:dyDescent="0.35">
      <c r="A210" s="279" t="s">
        <v>162</v>
      </c>
      <c r="B210" s="279"/>
      <c r="C210" s="226"/>
      <c r="D210" s="229"/>
      <c r="E210" s="229"/>
      <c r="F210" s="229" t="e">
        <f ca="1">+F204-F208</f>
        <v>#NAME?</v>
      </c>
      <c r="G210" s="229"/>
      <c r="H210" s="229"/>
      <c r="I210" s="229"/>
      <c r="J210" s="229" t="e">
        <f ca="1">+J204-J208</f>
        <v>#NAME?</v>
      </c>
      <c r="K210" s="229"/>
      <c r="L210" s="188"/>
      <c r="M210" s="167"/>
      <c r="N210" s="167"/>
      <c r="O210" s="167"/>
    </row>
    <row r="211" spans="1:15" s="12" customFormat="1" x14ac:dyDescent="0.35">
      <c r="A211" s="169"/>
      <c r="B211" s="169"/>
      <c r="C211" s="170"/>
      <c r="D211" s="171"/>
      <c r="E211" s="171"/>
      <c r="F211" s="171"/>
      <c r="G211" s="171"/>
      <c r="H211" s="171"/>
      <c r="I211" s="171"/>
      <c r="J211" s="171"/>
      <c r="K211" s="171"/>
      <c r="L211" s="188"/>
      <c r="M211" s="167"/>
      <c r="N211" s="167"/>
      <c r="O211" s="167"/>
    </row>
    <row r="212" spans="1:15" s="12" customFormat="1" x14ac:dyDescent="0.35">
      <c r="A212" s="169"/>
      <c r="B212" s="169"/>
      <c r="C212" s="169"/>
      <c r="D212" s="188"/>
      <c r="E212" s="188"/>
      <c r="F212" s="188"/>
      <c r="G212" s="188"/>
      <c r="H212" s="188"/>
      <c r="I212" s="188"/>
      <c r="J212" s="188"/>
      <c r="K212" s="188"/>
      <c r="L212" s="188"/>
      <c r="M212" s="167"/>
      <c r="N212" s="167"/>
      <c r="O212" s="167"/>
    </row>
    <row r="213" spans="1:15" s="12" customFormat="1" x14ac:dyDescent="0.35"/>
    <row r="214" spans="1:15" s="12" customFormat="1" x14ac:dyDescent="0.35"/>
    <row r="218" spans="1:15" x14ac:dyDescent="0.35">
      <c r="A218" s="199" t="s">
        <v>152</v>
      </c>
      <c r="B218" s="278"/>
      <c r="C218" s="12"/>
      <c r="D218" s="281" t="s">
        <v>163</v>
      </c>
      <c r="E218" s="12"/>
    </row>
    <row r="219" spans="1:15" ht="42" x14ac:dyDescent="0.35">
      <c r="A219" s="263" t="s">
        <v>126</v>
      </c>
      <c r="B219" s="278"/>
      <c r="C219" s="12"/>
      <c r="D219" s="193"/>
      <c r="E219" s="200" t="s">
        <v>164</v>
      </c>
    </row>
  </sheetData>
  <pageMargins left="0.39374999999999999" right="0.3541667" top="0.43333329999999998" bottom="0.39374999999999999" header="0.23611109999999999" footer="0.23611109999999999"/>
  <pageSetup paperSize="9" scale="31" fitToHeight="3"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SheetHeader xmlns:xsd="http://www.w3.org/2001/XMLSchema" xmlns:xsi="http://www.w3.org/2001/XMLSchema-instance" xmlns="SheetHeader">
  <CenterHasImage>false</CenterHasImage>
  <LeftHasImage>false</LeftHasImage>
  <RightHasImage>false</RightHasImage>
  <FirstPageDifferent>false</FirstPageDifferent>
</SheetHeader>
</file>

<file path=customXml/item2.xml><?xml version="1.0" encoding="utf-8"?>
<SheetsManager xmlns:xsd="http://www.w3.org/2001/XMLSchema" xmlns:xsi="http://www.w3.org/2001/XMLSchema-instance" xmlns="SheetsManager">
  <ContextStringCode>65547/44/23022/0</ContextStringCode>
  <MajorVersion>23</MajorVersion>
  <MinorVersion>2</MinorVersion>
  <GenerateHeaders>true</GenerateHeaders>
  <BookGuid>96d5abb7-26b3-48be-9ead-ebf841b15f18</BookGuid>
  <Repository>
    <Items>
      <SheetInfo>
        <GuidParam>b8eba5fa-8e66-474c-856c-f94d288e4322</GuidParam>
        <GuidTemplate>52018484-6b1b-44d5-b7d2-e5622398acc5</GuidTemplate>
        <Version>1</Version>
        <Sheetname>Page de garde</Sheetname>
        <DataTimeStamp>2023-09-19T16:42:13.3757203+02:00</DataTimeStamp>
        <TOCEntryType>Sheetname</TOCEntryType>
        <CustomSheetname>Page de garde</CustomSheetname>
        <PaginationType>Vide</PaginationType>
        <FiligraneType>Aucun</FiligraneType>
        <MajorVersion>1</MajorVersion>
        <MinorVersion>0</MinorVersion>
        <TemplateVersion>2022-01-14T17:41:47.007723+01:00</TemplateVersion>
        <ReportDocVersion>2022-01-14T17:14:05.924518+01:00</ReportDocVersion>
        <ParamVersion>2014-11-07T16:43:20.4092598+01:00</ParamVersion>
        <IncludeInTOC>false</IncludeInTOC>
        <IncludeInPdfExport>false</IncludeInPdfExport>
      </SheetInfo>
      <SheetInfo>
        <GuidParam/>
        <GuidTemplate/>
        <Version>1</Version>
        <Sheetname>Sommaire</Sheetname>
        <DataTimeStamp>2023-09-20T12:22:42.2471431+02:00</DataTimeStamp>
        <TOCEntryType>Sheetname</TOCEntryType>
        <PaginationType>NumPage</PaginationType>
        <FiligraneType>Aucun</FiligraneType>
        <MajorVersion>23</MajorVersion>
        <MinorVersion>2</MinorVersion>
        <TemplateVersion>0001-01-01T00:00:00</TemplateVersion>
        <ReportDocVersion>0001-01-01T00:00:00</ReportDocVersion>
        <ParamVersion>0001-01-01T00:00:00</ParamVersion>
        <IncludeInTOC>true</IncludeInTOC>
        <IncludeInPdfExport>true</IncludeInPdfExport>
      </SheetInfo>
      <SheetInfo>
        <GuidParam/>
        <GuidTemplate/>
        <Version>1</Version>
        <Sheetname>Bilan-Actif</Sheetname>
        <DataTimeStamp>2023-09-19T16:42:25.7258266+02:00</DataTimeStamp>
        <TOCEntryType>Sheetname</TOCEntryType>
        <CustomSheetname/>
        <PaginationType>NumPage</PaginationType>
        <FiligraneType>Aucun</FiligraneType>
        <MajorVersion>23</MajorVersion>
        <MinorVersion>2</MinorVersion>
        <TemplateVersion>0001-01-01T00:00:00</TemplateVersion>
        <ReportDocVersion>0001-01-01T00:00:00</ReportDocVersion>
        <ParamVersion>0001-01-01T00:00:00</ParamVersion>
        <IncludeInTOC>true</IncludeInTOC>
        <IncludeInPdfExport>true</IncludeInPdfExport>
      </SheetInfo>
      <SheetInfo>
        <GuidParam/>
        <GuidTemplate/>
        <Version>1</Version>
        <Sheetname>Bilan-Passif</Sheetname>
        <DataTimeStamp>2023-09-19T16:42:32.977716+02:00</DataTimeStamp>
        <TOCEntryType>Sheetname</TOCEntryType>
        <CustomSheetname/>
        <PaginationType>NumPage</PaginationType>
        <FiligraneType>Aucun</FiligraneType>
        <MajorVersion>23</MajorVersion>
        <MinorVersion>2</MinorVersion>
        <TemplateVersion>0001-01-01T00:00:00</TemplateVersion>
        <ReportDocVersion>0001-01-01T00:00:00</ReportDocVersion>
        <ParamVersion>0001-01-01T00:00:00</ParamVersion>
        <IncludeInTOC>true</IncludeInTOC>
        <IncludeInPdfExport>true</IncludeInPdfExport>
      </SheetInfo>
      <SheetInfo>
        <GuidParam/>
        <GuidTemplate/>
        <Version>1</Version>
        <Sheetname>Compte de résultat</Sheetname>
        <DataTimeStamp>2023-09-19T16:42:34.5301945+02:00</DataTimeStamp>
        <TOCEntryType>Sheetname</TOCEntryType>
        <CustomSheetname/>
        <PaginationType>NumPage</PaginationType>
        <FiligraneType>Aucun</FiligraneType>
        <MajorVersion>23</MajorVersion>
        <MinorVersion>2</MinorVersion>
        <TemplateVersion>0001-01-01T00:00:00</TemplateVersion>
        <ReportDocVersion>0001-01-01T00:00:00</ReportDocVersion>
        <ParamVersion>0001-01-01T00:00:00</ParamVersion>
        <IncludeInTOC>true</IncludeInTOC>
        <IncludeInPdfExport>true</IncludeInPdfExport>
      </SheetInfo>
      <SheetInfo>
        <GuidParam/>
        <GuidTemplate/>
        <Version>1</Version>
        <Sheetname>TAB. FI.PREPARATION</Sheetname>
        <DataTimeStamp>2023-09-20T12:22:42.2471431+02:00</DataTimeStamp>
        <TOCEntryType>Sheetname</TOCEntryType>
        <PaginationType>NumPage</PaginationType>
        <FiligraneType>Aucun</FiligraneType>
        <MajorVersion>23</MajorVersion>
        <MinorVersion>2</MinorVersion>
        <TemplateVersion>0001-01-01T00:00:00</TemplateVersion>
        <ReportDocVersion>0001-01-01T00:00:00</ReportDocVersion>
        <ParamVersion>0001-01-01T00:00:00</ParamVersion>
        <IncludeInTOC>true</IncludeInTOC>
        <IncludeInPdfExport>true</IncludeInPdfExport>
      </SheetInfo>
    </Items>
  </Repository>
  <GeneralDataTimeStamp>0001-01-01T00:00:00</GeneralDataTimeStamp>
  <CustomXMLPartsGuid>a6271995-2b48-4cde-b2b0-5851131f1036</CustomXMLPartsGuid>
</SheetsManager>
</file>

<file path=customXml/item3.xml><?xml version="1.0" encoding="utf-8"?>
<SheetFooter xmlns:xsd="http://www.w3.org/2001/XMLSchema" xmlns:xsi="http://www.w3.org/2001/XMLSchema-instance" xmlns="SheetFooter">
  <CenterHasImage>false</CenterHasImage>
  <LeftHasImage>false</LeftHasImage>
  <RightHasImage>false</RightHasImage>
  <FirstPageDifferent>false</FirstPageDifferent>
</SheetFooter>
</file>

<file path=customXml/itemProps1.xml><?xml version="1.0" encoding="utf-8"?>
<ds:datastoreItem xmlns:ds="http://schemas.openxmlformats.org/officeDocument/2006/customXml" ds:itemID="{1B71BD2B-E898-41D4-B8A0-5F8C610F25CB}">
  <ds:schemaRefs>
    <ds:schemaRef ds:uri="http://schemas.microsoft.com/vsto/samples"/>
    <ds:schemaRef ds:uri="http://www.w3.org/2001/XMLSchema"/>
    <ds:schemaRef ds:uri="SheetHeader"/>
  </ds:schemaRefs>
</ds:datastoreItem>
</file>

<file path=customXml/itemProps2.xml><?xml version="1.0" encoding="utf-8"?>
<ds:datastoreItem xmlns:ds="http://schemas.openxmlformats.org/officeDocument/2006/customXml" ds:itemID="{B3140C34-C0F1-4469-A2CE-ABF1F99F56B8}">
  <ds:schemaRefs>
    <ds:schemaRef ds:uri="http://schemas.microsoft.com/vsto/samples"/>
    <ds:schemaRef ds:uri="http://www.w3.org/2001/XMLSchema"/>
    <ds:schemaRef ds:uri="SheetsManager"/>
  </ds:schemaRefs>
</ds:datastoreItem>
</file>

<file path=customXml/itemProps3.xml><?xml version="1.0" encoding="utf-8"?>
<ds:datastoreItem xmlns:ds="http://schemas.openxmlformats.org/officeDocument/2006/customXml" ds:itemID="{9D5B9857-51FD-41DB-9EBB-D86901E2B7FC}">
  <ds:schemaRefs>
    <ds:schemaRef ds:uri="http://schemas.microsoft.com/vsto/samples"/>
    <ds:schemaRef ds:uri="http://www.w3.org/2001/XMLSchema"/>
    <ds:schemaRef ds:uri="SheetFooter"/>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62</vt:i4>
      </vt:variant>
    </vt:vector>
  </HeadingPairs>
  <TitlesOfParts>
    <vt:vector size="68" baseType="lpstr">
      <vt:lpstr>Page de garde</vt:lpstr>
      <vt:lpstr>Sommaire</vt:lpstr>
      <vt:lpstr>Bilan-Actif</vt:lpstr>
      <vt:lpstr>Bilan-Passif</vt:lpstr>
      <vt:lpstr>Compte de résultat</vt:lpstr>
      <vt:lpstr>TAB. FI.PREPARATION</vt:lpstr>
      <vt:lpstr>'Bilan-Actif'!_FilterDatabase</vt:lpstr>
      <vt:lpstr>'Bilan-Passif'!_FilterDatabase</vt:lpstr>
      <vt:lpstr>Sommaire!PLAQ_TOC</vt:lpstr>
      <vt:lpstr>PLAQ_TOC</vt:lpstr>
      <vt:lpstr>RESEXCP0</vt:lpstr>
      <vt:lpstr>TOP_MILLION</vt:lpstr>
      <vt:lpstr>'Page de garde'!Z_0191EF76_2510_49D3_95E0_C0C4981AA66C_.wvu.PrintArea</vt:lpstr>
      <vt:lpstr>'Page de garde'!Z_0B0634B6_74EF_4F75_9FF5_9053C86842F8_.wvu.PrintArea</vt:lpstr>
      <vt:lpstr>'Page de garde'!Z_15683789_9227_47D9_8529_8939C6F76F6E_.wvu.Cols</vt:lpstr>
      <vt:lpstr>'Page de garde'!Z_15683789_9227_47D9_8529_8939C6F76F6E_.wvu.PrintArea</vt:lpstr>
      <vt:lpstr>'Page de garde'!Z_2B3CD2F3_81AF_4633_B060_97645219FB90_.wvu.PrintArea</vt:lpstr>
      <vt:lpstr>'Page de garde'!Z_3B06EE10_2DAB_4987_8B2C_C7A02B009259_.wvu.PrintArea</vt:lpstr>
      <vt:lpstr>'Page de garde'!Z_3CF2B91C_4460_4D92_B5AE_EC115AA88BBA_.wvu.PrintArea</vt:lpstr>
      <vt:lpstr>'Page de garde'!Z_3D87E993_04A7_4481_B694_4C968B1D121D_.wvu.PrintArea</vt:lpstr>
      <vt:lpstr>'Page de garde'!Z_42A6DCBD_FC0A_48B0_B273_1C4AF8B25BCB_.wvu.PrintArea</vt:lpstr>
      <vt:lpstr>'Page de garde'!Z_43461A65_B833_43AA_AA6B_F8248BC1C33A_.wvu.PrintArea</vt:lpstr>
      <vt:lpstr>'Page de garde'!Z_44322556_9F23_447D_B20E_881E31420252_.wvu.PrintArea</vt:lpstr>
      <vt:lpstr>'Page de garde'!Z_480A1F6F_8690_4B8A_9ADB_B479BE9D822D_.wvu.PrintArea</vt:lpstr>
      <vt:lpstr>'Page de garde'!Z_5D4DB0EB_8A29_4557_AD5E_2E06A3AEDAE4_.wvu.PrintArea</vt:lpstr>
      <vt:lpstr>'Page de garde'!Z_62480D39_0C2E_4F83_8250_CC96093E4B7E_.wvu.PrintArea</vt:lpstr>
      <vt:lpstr>'Page de garde'!Z_6265DCE2_EC25_4402_AD1E_01379A9C3EBD_.wvu.PrintArea</vt:lpstr>
      <vt:lpstr>'Page de garde'!Z_640CABD1_B9C0_42B2_AA20_435E084839BE_.wvu.Cols</vt:lpstr>
      <vt:lpstr>'Page de garde'!Z_640CABD1_B9C0_42B2_AA20_435E084839BE_.wvu.PrintArea</vt:lpstr>
      <vt:lpstr>'Page de garde'!Z_69131410_809A_4F24_87D8_7571714B0248_.wvu.PrintArea</vt:lpstr>
      <vt:lpstr>'Page de garde'!Z_6DDA41D2_D2B8_4FC8_AB27_98244AB20722_.wvu.PrintArea</vt:lpstr>
      <vt:lpstr>'Page de garde'!Z_73063C07_CA32_4418_9603_EA82F65E3847_.wvu.PrintArea</vt:lpstr>
      <vt:lpstr>'Page de garde'!Z_82D7D028_1430_42F2_A05E_616ACB573367_.wvu.PrintArea</vt:lpstr>
      <vt:lpstr>'Page de garde'!Z_90D21A03_2AE2_4031_B3E5_CC9A9756E38B_.wvu.Cols</vt:lpstr>
      <vt:lpstr>'Page de garde'!Z_90D21A03_2AE2_4031_B3E5_CC9A9756E38B_.wvu.PrintArea</vt:lpstr>
      <vt:lpstr>'Page de garde'!Z_975562A6_2954_4280_AFE7_95AA1C102A37_.wvu.Cols</vt:lpstr>
      <vt:lpstr>'Page de garde'!Z_975562A6_2954_4280_AFE7_95AA1C102A37_.wvu.PrintArea</vt:lpstr>
      <vt:lpstr>'Page de garde'!Z_99A3EFD7_21AA_4F72_B5B6_B96B76C95A3D_.wvu.PrintArea</vt:lpstr>
      <vt:lpstr>'Page de garde'!Z_B0F27F0F_A609_4B09_B47D_03C3A1660EEB_.wvu.PrintArea</vt:lpstr>
      <vt:lpstr>'Page de garde'!Z_B2459E3C_45DB_4C0A_9F58_CC03880ED7DC_.wvu.PrintArea</vt:lpstr>
      <vt:lpstr>'Page de garde'!Z_B2CD87BD_2272_4AF4_8DBC_1E5A8D1E7DE4_.wvu.Cols</vt:lpstr>
      <vt:lpstr>'Page de garde'!Z_B2CD87BD_2272_4AF4_8DBC_1E5A8D1E7DE4_.wvu.PrintArea</vt:lpstr>
      <vt:lpstr>'Page de garde'!Z_B5B73EBE_7F4D_49FA_9512_48065E10573F_.wvu.Cols</vt:lpstr>
      <vt:lpstr>'Page de garde'!Z_B5B73EBE_7F4D_49FA_9512_48065E10573F_.wvu.PrintArea</vt:lpstr>
      <vt:lpstr>'Page de garde'!Z_B68A0F17_5C81_437C_BC8D_8F672130082C_.wvu.Cols</vt:lpstr>
      <vt:lpstr>'Page de garde'!Z_B68A0F17_5C81_437C_BC8D_8F672130082C_.wvu.PrintArea</vt:lpstr>
      <vt:lpstr>'Page de garde'!Z_BA83C2C2_654B_4639_8920_2FF5B1D3A987_.wvu.Cols</vt:lpstr>
      <vt:lpstr>'Page de garde'!Z_BA83C2C2_654B_4639_8920_2FF5B1D3A987_.wvu.PrintArea</vt:lpstr>
      <vt:lpstr>'Page de garde'!Z_BD0E8B8F_3141_4536_891F_837B5C75110E_.wvu.Cols</vt:lpstr>
      <vt:lpstr>'Page de garde'!Z_BD0E8B8F_3141_4536_891F_837B5C75110E_.wvu.PrintArea</vt:lpstr>
      <vt:lpstr>'Page de garde'!Z_C551BC6B_530E_4E26_94E1_1B87DB169CB1_.wvu.PrintArea</vt:lpstr>
      <vt:lpstr>'Page de garde'!Z_C85A6159_2E87_4549_8ED9_E379A5987969_.wvu.PrintArea</vt:lpstr>
      <vt:lpstr>'Page de garde'!Z_C8EF3664_CE13_4BE4_8615_C0848769AEB3_.wvu.PrintArea</vt:lpstr>
      <vt:lpstr>'Page de garde'!Z_C9A63A22_8744_4A6F_BD87_EA189F4F06F9_.wvu.PrintArea</vt:lpstr>
      <vt:lpstr>'Page de garde'!Z_CF686290_1697_48E3_97FE_77B50E26715D_.wvu.PrintArea</vt:lpstr>
      <vt:lpstr>'Page de garde'!Z_D505EE29_30D4_4A37_A60B_AFE7297BA833_.wvu.Cols</vt:lpstr>
      <vt:lpstr>'Page de garde'!Z_D505EE29_30D4_4A37_A60B_AFE7297BA833_.wvu.PrintArea</vt:lpstr>
      <vt:lpstr>'Page de garde'!Z_E511A166_5DEB_47C3_8F03_DE291A58FC79_.wvu.PrintArea</vt:lpstr>
      <vt:lpstr>'Page de garde'!Z_EC9BFD6C_B61F_4513_A946_F20B9CFBDE92_.wvu.PrintArea</vt:lpstr>
      <vt:lpstr>'Page de garde'!Z_F448D367_83F1_4479_BE06_489F913325B1_.wvu.Cols</vt:lpstr>
      <vt:lpstr>'Page de garde'!Z_F448D367_83F1_4479_BE06_489F913325B1_.wvu.PrintArea</vt:lpstr>
      <vt:lpstr>'Page de garde'!Z_FD054DAF_EF2D_4FB2_B58A_184AE40F6300_.wvu.PrintArea</vt:lpstr>
      <vt:lpstr>'Page de garde'!Z_FEDF290D_12FD_40D7_A0FB_BC676BDF18F9_.wvu.Cols</vt:lpstr>
      <vt:lpstr>'Page de garde'!Z_FEDF290D_12FD_40D7_A0FB_BC676BDF18F9_.wvu.PrintArea</vt:lpstr>
      <vt:lpstr>'Bilan-Actif'!Zone_d_impression</vt:lpstr>
      <vt:lpstr>'Bilan-Passif'!Zone_d_impression</vt:lpstr>
      <vt:lpstr>'Compte de résultat'!Zone_d_impression</vt:lpstr>
      <vt:lpstr>'Page de garde'!Zone_d_impression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IIS APPPOOL\tax</dc:creator>
  <cp:lastModifiedBy>FROUIN, Jessica</cp:lastModifiedBy>
  <dcterms:created xsi:type="dcterms:W3CDTF">2023-09-19T08:37:50Z</dcterms:created>
  <dcterms:modified xsi:type="dcterms:W3CDTF">2023-09-22T09:53:05Z</dcterms:modified>
</cp:coreProperties>
</file>