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555" windowWidth="20115" windowHeight="7065" activeTab="2"/>
  </bookViews>
  <sheets>
    <sheet name="FEUILLE DE DONNEES" sheetId="4" r:id="rId1"/>
    <sheet name="COMPOSITTIONS" sheetId="2" r:id="rId2"/>
    <sheet name="CACHER" sheetId="1" r:id="rId3"/>
  </sheets>
  <definedNames>
    <definedName name="deroulantespece">#REF!</definedName>
    <definedName name="especederoulantsanschiffre">#REF!</definedName>
    <definedName name="especes">COMPOSITTIONS!$2:$2</definedName>
    <definedName name="NUMEROCLASSEMENTCOMPO">COMPOSITTIONS!$A$3:$A$20</definedName>
    <definedName name="Reference">COMPOSITTIONS!$A:$A</definedName>
    <definedName name="tableaucompo">COMPOSITTIONS!$A$2:$BI$20</definedName>
    <definedName name="TABLEAUCOMPOSITIONS">COMPOSITTIONS!$A$2:$BI$20</definedName>
  </definedNames>
  <calcPr calcId="145621"/>
</workbook>
</file>

<file path=xl/calcChain.xml><?xml version="1.0" encoding="utf-8"?>
<calcChain xmlns="http://schemas.openxmlformats.org/spreadsheetml/2006/main">
  <c r="N21" i="1" l="1"/>
  <c r="D43" i="4"/>
  <c r="N9" i="1"/>
  <c r="E4" i="1"/>
  <c r="J3" i="1"/>
  <c r="J4" i="1"/>
  <c r="J5" i="1"/>
  <c r="N25" i="1"/>
  <c r="N26" i="1"/>
  <c r="N23" i="1"/>
  <c r="N22" i="1"/>
  <c r="N24" i="1"/>
  <c r="N18" i="1"/>
  <c r="N19" i="1"/>
  <c r="N20" i="1"/>
  <c r="Q17" i="1"/>
  <c r="E7" i="1" l="1"/>
  <c r="AH18" i="1" s="1"/>
  <c r="AJ18" i="1" s="1"/>
  <c r="E8" i="1"/>
  <c r="E9" i="1"/>
  <c r="E10" i="1"/>
  <c r="E11" i="1"/>
  <c r="E6" i="1"/>
  <c r="AB78" i="1" s="1"/>
  <c r="AE78" i="1" s="1"/>
  <c r="BF77" i="1" l="1"/>
  <c r="BF73" i="1"/>
  <c r="BF69" i="1"/>
  <c r="BF65" i="1"/>
  <c r="BF61" i="1"/>
  <c r="BF57" i="1"/>
  <c r="BF53" i="1"/>
  <c r="BF49" i="1"/>
  <c r="BF41" i="1"/>
  <c r="BF37" i="1"/>
  <c r="BF33" i="1"/>
  <c r="BF29" i="1"/>
  <c r="BF25" i="1"/>
  <c r="BF21" i="1"/>
  <c r="BF17" i="1"/>
  <c r="BF76" i="1"/>
  <c r="BF72" i="1"/>
  <c r="BF68" i="1"/>
  <c r="BF64" i="1"/>
  <c r="BF60" i="1"/>
  <c r="BF56" i="1"/>
  <c r="BF52" i="1"/>
  <c r="BF48" i="1"/>
  <c r="BF44" i="1"/>
  <c r="BF40" i="1"/>
  <c r="BF36" i="1"/>
  <c r="BF32" i="1"/>
  <c r="BF28" i="1"/>
  <c r="BF24" i="1"/>
  <c r="BF20" i="1"/>
  <c r="BF79" i="1"/>
  <c r="BF75" i="1"/>
  <c r="BF71" i="1"/>
  <c r="BF67" i="1"/>
  <c r="BF63" i="1"/>
  <c r="BF59" i="1"/>
  <c r="BF55" i="1"/>
  <c r="BF51" i="1"/>
  <c r="BF47" i="1"/>
  <c r="BF43" i="1"/>
  <c r="BF39" i="1"/>
  <c r="BF35" i="1"/>
  <c r="BF31" i="1"/>
  <c r="BF27" i="1"/>
  <c r="BF23" i="1"/>
  <c r="BF19" i="1"/>
  <c r="BF78" i="1"/>
  <c r="BF74" i="1"/>
  <c r="BF70" i="1"/>
  <c r="BF66" i="1"/>
  <c r="BF62" i="1"/>
  <c r="BF58" i="1"/>
  <c r="BF54" i="1"/>
  <c r="BF50" i="1"/>
  <c r="BF46" i="1"/>
  <c r="BF42" i="1"/>
  <c r="BF38" i="1"/>
  <c r="BF34" i="1"/>
  <c r="BF30" i="1"/>
  <c r="BF26" i="1"/>
  <c r="BF22" i="1"/>
  <c r="BI22" i="1" s="1"/>
  <c r="BF18" i="1"/>
  <c r="BI47" i="1"/>
  <c r="BI34" i="1"/>
  <c r="BI37" i="1"/>
  <c r="BI30" i="1"/>
  <c r="AB19" i="1"/>
  <c r="AE19" i="1" s="1"/>
  <c r="AB18" i="1"/>
  <c r="AE18" i="1" s="1"/>
  <c r="AB24" i="1"/>
  <c r="AD24" i="1" s="1"/>
  <c r="AB64" i="1"/>
  <c r="AD64" i="1" s="1"/>
  <c r="AB27" i="1"/>
  <c r="AE27" i="1" s="1"/>
  <c r="AZ77" i="1"/>
  <c r="AZ73" i="1"/>
  <c r="AZ69" i="1"/>
  <c r="AZ65" i="1"/>
  <c r="AZ61" i="1"/>
  <c r="AZ57" i="1"/>
  <c r="AZ53" i="1"/>
  <c r="AZ49" i="1"/>
  <c r="AZ41" i="1"/>
  <c r="AZ37" i="1"/>
  <c r="AZ33" i="1"/>
  <c r="AZ29" i="1"/>
  <c r="AZ25" i="1"/>
  <c r="AZ21" i="1"/>
  <c r="AZ79" i="1"/>
  <c r="AZ75" i="1"/>
  <c r="AZ71" i="1"/>
  <c r="AZ67" i="1"/>
  <c r="AZ63" i="1"/>
  <c r="AZ59" i="1"/>
  <c r="AZ55" i="1"/>
  <c r="AZ51" i="1"/>
  <c r="AZ43" i="1"/>
  <c r="AZ39" i="1"/>
  <c r="AZ35" i="1"/>
  <c r="AZ31" i="1"/>
  <c r="AZ27" i="1"/>
  <c r="AZ23" i="1"/>
  <c r="AZ19" i="1"/>
  <c r="AZ76" i="1"/>
  <c r="AZ68" i="1"/>
  <c r="AZ60" i="1"/>
  <c r="AZ52" i="1"/>
  <c r="AZ44" i="1"/>
  <c r="AZ36" i="1"/>
  <c r="AZ28" i="1"/>
  <c r="AZ20" i="1"/>
  <c r="AZ66" i="1"/>
  <c r="AZ50" i="1"/>
  <c r="AZ34" i="1"/>
  <c r="AZ18" i="1"/>
  <c r="AZ62" i="1"/>
  <c r="AZ46" i="1"/>
  <c r="AZ22" i="1"/>
  <c r="AZ74" i="1"/>
  <c r="AZ58" i="1"/>
  <c r="AZ42" i="1"/>
  <c r="AZ26" i="1"/>
  <c r="AZ38" i="1"/>
  <c r="AZ72" i="1"/>
  <c r="AZ64" i="1"/>
  <c r="AZ56" i="1"/>
  <c r="AZ48" i="1"/>
  <c r="AZ40" i="1"/>
  <c r="AZ32" i="1"/>
  <c r="AZ24" i="1"/>
  <c r="AZ78" i="1"/>
  <c r="AZ70" i="1"/>
  <c r="AZ54" i="1"/>
  <c r="AZ30" i="1"/>
  <c r="AZ17" i="1"/>
  <c r="AT76" i="1"/>
  <c r="AT72" i="1"/>
  <c r="AT68" i="1"/>
  <c r="AT64" i="1"/>
  <c r="AT60" i="1"/>
  <c r="AT56" i="1"/>
  <c r="AT52" i="1"/>
  <c r="AT48" i="1"/>
  <c r="AT43" i="1"/>
  <c r="AT39" i="1"/>
  <c r="AT35" i="1"/>
  <c r="AT31" i="1"/>
  <c r="AT27" i="1"/>
  <c r="AT23" i="1"/>
  <c r="AT19" i="1"/>
  <c r="AT79" i="1"/>
  <c r="AT75" i="1"/>
  <c r="AT71" i="1"/>
  <c r="AT67" i="1"/>
  <c r="AT63" i="1"/>
  <c r="AT59" i="1"/>
  <c r="AT55" i="1"/>
  <c r="AT51" i="1"/>
  <c r="AT47" i="1"/>
  <c r="AT42" i="1"/>
  <c r="AT38" i="1"/>
  <c r="AT34" i="1"/>
  <c r="AT30" i="1"/>
  <c r="AT26" i="1"/>
  <c r="AT18" i="1"/>
  <c r="AT78" i="1"/>
  <c r="AT74" i="1"/>
  <c r="AT70" i="1"/>
  <c r="AT66" i="1"/>
  <c r="AT62" i="1"/>
  <c r="AT58" i="1"/>
  <c r="AT54" i="1"/>
  <c r="AT50" i="1"/>
  <c r="AT46" i="1"/>
  <c r="AT41" i="1"/>
  <c r="AT37" i="1"/>
  <c r="AT33" i="1"/>
  <c r="AT29" i="1"/>
  <c r="AT25" i="1"/>
  <c r="AW25" i="1" s="1"/>
  <c r="AT21" i="1"/>
  <c r="AT17" i="1"/>
  <c r="AT77" i="1"/>
  <c r="AT73" i="1"/>
  <c r="AT69" i="1"/>
  <c r="AT65" i="1"/>
  <c r="AT61" i="1"/>
  <c r="AT57" i="1"/>
  <c r="AT53" i="1"/>
  <c r="AT49" i="1"/>
  <c r="AT44" i="1"/>
  <c r="AT40" i="1"/>
  <c r="AT36" i="1"/>
  <c r="AT32" i="1"/>
  <c r="AT28" i="1"/>
  <c r="AT24" i="1"/>
  <c r="AT20" i="1"/>
  <c r="AB39" i="1"/>
  <c r="AE39" i="1" s="1"/>
  <c r="AH17" i="1"/>
  <c r="AJ17" i="1" s="1"/>
  <c r="AB43" i="1"/>
  <c r="AE43" i="1" s="1"/>
  <c r="AB20" i="1"/>
  <c r="AD20" i="1" s="1"/>
  <c r="AB31" i="1"/>
  <c r="AE31" i="1" s="1"/>
  <c r="AB48" i="1"/>
  <c r="AD48" i="1" s="1"/>
  <c r="AH19" i="1"/>
  <c r="AJ19" i="1" s="1"/>
  <c r="AN76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N20" i="1"/>
  <c r="AN78" i="1"/>
  <c r="AN74" i="1"/>
  <c r="AN70" i="1"/>
  <c r="AN66" i="1"/>
  <c r="AN62" i="1"/>
  <c r="AN58" i="1"/>
  <c r="AN54" i="1"/>
  <c r="AN50" i="1"/>
  <c r="AN46" i="1"/>
  <c r="AN42" i="1"/>
  <c r="AN38" i="1"/>
  <c r="AN34" i="1"/>
  <c r="AN30" i="1"/>
  <c r="AN26" i="1"/>
  <c r="AN18" i="1"/>
  <c r="AN73" i="1"/>
  <c r="AN65" i="1"/>
  <c r="AN57" i="1"/>
  <c r="AN49" i="1"/>
  <c r="AN41" i="1"/>
  <c r="AN33" i="1"/>
  <c r="AN25" i="1"/>
  <c r="AN17" i="1"/>
  <c r="AN59" i="1"/>
  <c r="AN43" i="1"/>
  <c r="AN27" i="1"/>
  <c r="AN19" i="1"/>
  <c r="AN79" i="1"/>
  <c r="AN71" i="1"/>
  <c r="AN63" i="1"/>
  <c r="AN55" i="1"/>
  <c r="AN47" i="1"/>
  <c r="AN39" i="1"/>
  <c r="AN31" i="1"/>
  <c r="AN23" i="1"/>
  <c r="AN77" i="1"/>
  <c r="AN69" i="1"/>
  <c r="AN61" i="1"/>
  <c r="AN53" i="1"/>
  <c r="AN37" i="1"/>
  <c r="AN29" i="1"/>
  <c r="AN21" i="1"/>
  <c r="AN75" i="1"/>
  <c r="AN67" i="1"/>
  <c r="AN51" i="1"/>
  <c r="AN35" i="1"/>
  <c r="AB23" i="1"/>
  <c r="AE23" i="1" s="1"/>
  <c r="AB35" i="1"/>
  <c r="AE35" i="1" s="1"/>
  <c r="AB52" i="1"/>
  <c r="AD52" i="1" s="1"/>
  <c r="AB56" i="1"/>
  <c r="AD56" i="1" s="1"/>
  <c r="AB68" i="1"/>
  <c r="AD68" i="1" s="1"/>
  <c r="AB72" i="1"/>
  <c r="AE72" i="1" s="1"/>
  <c r="AH79" i="1"/>
  <c r="AJ79" i="1" s="1"/>
  <c r="AH75" i="1"/>
  <c r="AJ75" i="1" s="1"/>
  <c r="AH71" i="1"/>
  <c r="AJ71" i="1" s="1"/>
  <c r="AH67" i="1"/>
  <c r="AJ67" i="1" s="1"/>
  <c r="AH63" i="1"/>
  <c r="AJ63" i="1" s="1"/>
  <c r="AH59" i="1"/>
  <c r="AJ59" i="1" s="1"/>
  <c r="AH55" i="1"/>
  <c r="AJ55" i="1" s="1"/>
  <c r="AH51" i="1"/>
  <c r="AJ51" i="1" s="1"/>
  <c r="AH47" i="1"/>
  <c r="AJ47" i="1" s="1"/>
  <c r="AH43" i="1"/>
  <c r="AJ43" i="1" s="1"/>
  <c r="AH39" i="1"/>
  <c r="AJ39" i="1" s="1"/>
  <c r="AH35" i="1"/>
  <c r="AJ35" i="1" s="1"/>
  <c r="AH31" i="1"/>
  <c r="AJ31" i="1" s="1"/>
  <c r="AH27" i="1"/>
  <c r="AJ27" i="1" s="1"/>
  <c r="AH23" i="1"/>
  <c r="AJ23" i="1" s="1"/>
  <c r="AH78" i="1"/>
  <c r="AJ78" i="1" s="1"/>
  <c r="AH74" i="1"/>
  <c r="AJ74" i="1" s="1"/>
  <c r="AH70" i="1"/>
  <c r="AJ70" i="1" s="1"/>
  <c r="AH66" i="1"/>
  <c r="AJ66" i="1" s="1"/>
  <c r="AH62" i="1"/>
  <c r="AJ62" i="1" s="1"/>
  <c r="AH58" i="1"/>
  <c r="AJ58" i="1" s="1"/>
  <c r="AH54" i="1"/>
  <c r="AJ54" i="1" s="1"/>
  <c r="AH50" i="1"/>
  <c r="AJ50" i="1" s="1"/>
  <c r="AH46" i="1"/>
  <c r="AJ46" i="1" s="1"/>
  <c r="AH42" i="1"/>
  <c r="AJ42" i="1" s="1"/>
  <c r="AH38" i="1"/>
  <c r="AJ38" i="1" s="1"/>
  <c r="AH34" i="1"/>
  <c r="AJ34" i="1" s="1"/>
  <c r="AH30" i="1"/>
  <c r="AJ30" i="1" s="1"/>
  <c r="AH26" i="1"/>
  <c r="AJ26" i="1" s="1"/>
  <c r="AH24" i="1"/>
  <c r="AJ24" i="1" s="1"/>
  <c r="AH32" i="1"/>
  <c r="AJ32" i="1" s="1"/>
  <c r="AH40" i="1"/>
  <c r="AJ40" i="1" s="1"/>
  <c r="AH48" i="1"/>
  <c r="AJ48" i="1" s="1"/>
  <c r="AH56" i="1"/>
  <c r="AJ56" i="1" s="1"/>
  <c r="AH64" i="1"/>
  <c r="AJ64" i="1" s="1"/>
  <c r="AH72" i="1"/>
  <c r="AJ72" i="1" s="1"/>
  <c r="AH25" i="1"/>
  <c r="AJ25" i="1" s="1"/>
  <c r="AH33" i="1"/>
  <c r="AJ33" i="1" s="1"/>
  <c r="AH41" i="1"/>
  <c r="AJ41" i="1" s="1"/>
  <c r="AH49" i="1"/>
  <c r="AJ49" i="1" s="1"/>
  <c r="AH57" i="1"/>
  <c r="AJ57" i="1" s="1"/>
  <c r="AH65" i="1"/>
  <c r="AJ65" i="1" s="1"/>
  <c r="AH73" i="1"/>
  <c r="AJ73" i="1" s="1"/>
  <c r="AH21" i="1"/>
  <c r="AJ21" i="1" s="1"/>
  <c r="AH28" i="1"/>
  <c r="AJ28" i="1" s="1"/>
  <c r="AH36" i="1"/>
  <c r="AJ36" i="1" s="1"/>
  <c r="AH44" i="1"/>
  <c r="AJ44" i="1" s="1"/>
  <c r="AH52" i="1"/>
  <c r="AJ52" i="1" s="1"/>
  <c r="AH60" i="1"/>
  <c r="AJ60" i="1" s="1"/>
  <c r="AH68" i="1"/>
  <c r="AJ68" i="1" s="1"/>
  <c r="AH76" i="1"/>
  <c r="AJ76" i="1" s="1"/>
  <c r="AH20" i="1"/>
  <c r="AJ20" i="1" s="1"/>
  <c r="AH29" i="1"/>
  <c r="AJ29" i="1" s="1"/>
  <c r="AH37" i="1"/>
  <c r="AJ37" i="1" s="1"/>
  <c r="AH53" i="1"/>
  <c r="AJ53" i="1" s="1"/>
  <c r="AH61" i="1"/>
  <c r="AJ61" i="1" s="1"/>
  <c r="AH69" i="1"/>
  <c r="AJ69" i="1" s="1"/>
  <c r="AH77" i="1"/>
  <c r="AJ77" i="1" s="1"/>
  <c r="AB60" i="1"/>
  <c r="AD60" i="1" s="1"/>
  <c r="AB76" i="1"/>
  <c r="AE76" i="1" s="1"/>
  <c r="AB22" i="1"/>
  <c r="AE22" i="1" s="1"/>
  <c r="AB26" i="1"/>
  <c r="AE26" i="1" s="1"/>
  <c r="AB30" i="1"/>
  <c r="AE30" i="1" s="1"/>
  <c r="AB34" i="1"/>
  <c r="AE34" i="1" s="1"/>
  <c r="AB38" i="1"/>
  <c r="AE38" i="1" s="1"/>
  <c r="AB42" i="1"/>
  <c r="AE42" i="1" s="1"/>
  <c r="AB47" i="1"/>
  <c r="AE47" i="1" s="1"/>
  <c r="AB51" i="1"/>
  <c r="AE51" i="1" s="1"/>
  <c r="AB55" i="1"/>
  <c r="AE55" i="1" s="1"/>
  <c r="AB59" i="1"/>
  <c r="AE59" i="1" s="1"/>
  <c r="AB63" i="1"/>
  <c r="AE63" i="1" s="1"/>
  <c r="AB67" i="1"/>
  <c r="AE67" i="1" s="1"/>
  <c r="AB71" i="1"/>
  <c r="AE71" i="1" s="1"/>
  <c r="AB75" i="1"/>
  <c r="AE75" i="1" s="1"/>
  <c r="AB79" i="1"/>
  <c r="AE79" i="1" s="1"/>
  <c r="AB28" i="1"/>
  <c r="AD28" i="1" s="1"/>
  <c r="AB32" i="1"/>
  <c r="AD32" i="1" s="1"/>
  <c r="AB36" i="1"/>
  <c r="AD36" i="1" s="1"/>
  <c r="AB40" i="1"/>
  <c r="AD40" i="1" s="1"/>
  <c r="AB44" i="1"/>
  <c r="AD44" i="1" s="1"/>
  <c r="AB49" i="1"/>
  <c r="AF49" i="1" s="1"/>
  <c r="AB53" i="1"/>
  <c r="AF53" i="1" s="1"/>
  <c r="AB57" i="1"/>
  <c r="AF57" i="1" s="1"/>
  <c r="AB61" i="1"/>
  <c r="AF61" i="1" s="1"/>
  <c r="AB65" i="1"/>
  <c r="AF65" i="1" s="1"/>
  <c r="AB69" i="1"/>
  <c r="AF69" i="1" s="1"/>
  <c r="AB73" i="1"/>
  <c r="AF73" i="1" s="1"/>
  <c r="AB77" i="1"/>
  <c r="AF77" i="1" s="1"/>
  <c r="AB21" i="1"/>
  <c r="AF21" i="1" s="1"/>
  <c r="AB25" i="1"/>
  <c r="AF25" i="1" s="1"/>
  <c r="AB29" i="1"/>
  <c r="AF29" i="1" s="1"/>
  <c r="AB33" i="1"/>
  <c r="AF33" i="1" s="1"/>
  <c r="AB37" i="1"/>
  <c r="AF37" i="1" s="1"/>
  <c r="AB41" i="1"/>
  <c r="AF41" i="1" s="1"/>
  <c r="AB46" i="1"/>
  <c r="AE46" i="1" s="1"/>
  <c r="AB50" i="1"/>
  <c r="AE50" i="1" s="1"/>
  <c r="AB54" i="1"/>
  <c r="AE54" i="1" s="1"/>
  <c r="AB58" i="1"/>
  <c r="AE58" i="1" s="1"/>
  <c r="AB62" i="1"/>
  <c r="AE62" i="1" s="1"/>
  <c r="AB66" i="1"/>
  <c r="AE66" i="1" s="1"/>
  <c r="AB70" i="1"/>
  <c r="AE70" i="1" s="1"/>
  <c r="AB74" i="1"/>
  <c r="AE74" i="1" s="1"/>
  <c r="AC64" i="1"/>
  <c r="AC48" i="1"/>
  <c r="AF78" i="1"/>
  <c r="AC78" i="1"/>
  <c r="AC56" i="1"/>
  <c r="AF64" i="1"/>
  <c r="AF56" i="1"/>
  <c r="AF24" i="1"/>
  <c r="AF20" i="1"/>
  <c r="AF63" i="1"/>
  <c r="AF47" i="1"/>
  <c r="AF31" i="1"/>
  <c r="AF27" i="1"/>
  <c r="AF19" i="1"/>
  <c r="AC79" i="1"/>
  <c r="AC63" i="1"/>
  <c r="AC39" i="1"/>
  <c r="AC27" i="1"/>
  <c r="AC23" i="1"/>
  <c r="AC19" i="1"/>
  <c r="AD63" i="1"/>
  <c r="AD43" i="1"/>
  <c r="AD39" i="1"/>
  <c r="AD27" i="1"/>
  <c r="AD19" i="1"/>
  <c r="AE73" i="1"/>
  <c r="AC46" i="1"/>
  <c r="AD78" i="1"/>
  <c r="AD62" i="1"/>
  <c r="AE64" i="1"/>
  <c r="AE60" i="1"/>
  <c r="AE56" i="1"/>
  <c r="AE40" i="1"/>
  <c r="AE24" i="1"/>
  <c r="AE20" i="1"/>
  <c r="AC29" i="1"/>
  <c r="AC24" i="1"/>
  <c r="AC20" i="1"/>
  <c r="AD37" i="1" l="1"/>
  <c r="AC18" i="1"/>
  <c r="AF43" i="1"/>
  <c r="AC43" i="1"/>
  <c r="AF52" i="1"/>
  <c r="AD18" i="1"/>
  <c r="AC38" i="1"/>
  <c r="AC37" i="1"/>
  <c r="AE52" i="1"/>
  <c r="AC55" i="1"/>
  <c r="AF18" i="1"/>
  <c r="BG30" i="1"/>
  <c r="BH30" i="1"/>
  <c r="BJ30" i="1" s="1"/>
  <c r="BG46" i="1"/>
  <c r="BI46" i="1" s="1"/>
  <c r="BH46" i="1"/>
  <c r="BJ46" i="1" s="1"/>
  <c r="BI62" i="1"/>
  <c r="BH62" i="1"/>
  <c r="BJ62" i="1" s="1"/>
  <c r="BG62" i="1"/>
  <c r="BH78" i="1"/>
  <c r="BJ78" i="1" s="1"/>
  <c r="BI78" i="1"/>
  <c r="BG78" i="1"/>
  <c r="BG31" i="1"/>
  <c r="BH31" i="1"/>
  <c r="BJ31" i="1" s="1"/>
  <c r="BI31" i="1"/>
  <c r="BG47" i="1"/>
  <c r="BH47" i="1"/>
  <c r="BJ47" i="1" s="1"/>
  <c r="BH63" i="1"/>
  <c r="BJ63" i="1" s="1"/>
  <c r="BG63" i="1"/>
  <c r="BI63" i="1"/>
  <c r="BH79" i="1"/>
  <c r="BJ79" i="1" s="1"/>
  <c r="BG79" i="1"/>
  <c r="BI79" i="1"/>
  <c r="BH32" i="1"/>
  <c r="BJ32" i="1" s="1"/>
  <c r="BG32" i="1"/>
  <c r="BI32" i="1"/>
  <c r="BH48" i="1"/>
  <c r="BJ48" i="1" s="1"/>
  <c r="BG48" i="1"/>
  <c r="BI48" i="1" s="1"/>
  <c r="BI64" i="1"/>
  <c r="BG64" i="1"/>
  <c r="BH64" i="1"/>
  <c r="BJ64" i="1" s="1"/>
  <c r="BH17" i="1"/>
  <c r="BJ17" i="1" s="1"/>
  <c r="BG17" i="1"/>
  <c r="BI17" i="1"/>
  <c r="BG33" i="1"/>
  <c r="BI33" i="1"/>
  <c r="BH33" i="1"/>
  <c r="BJ33" i="1" s="1"/>
  <c r="BH49" i="1"/>
  <c r="BJ49" i="1" s="1"/>
  <c r="BG49" i="1"/>
  <c r="BI49" i="1" s="1"/>
  <c r="BI65" i="1"/>
  <c r="BG65" i="1"/>
  <c r="BH65" i="1"/>
  <c r="BJ65" i="1" s="1"/>
  <c r="BG18" i="1"/>
  <c r="BI18" i="1" s="1"/>
  <c r="BH18" i="1"/>
  <c r="BJ18" i="1" s="1"/>
  <c r="BH34" i="1"/>
  <c r="BJ34" i="1" s="1"/>
  <c r="BG34" i="1"/>
  <c r="BG50" i="1"/>
  <c r="BH50" i="1"/>
  <c r="BG66" i="1"/>
  <c r="BI66" i="1"/>
  <c r="BH66" i="1"/>
  <c r="BJ66" i="1" s="1"/>
  <c r="BG19" i="1"/>
  <c r="BH19" i="1"/>
  <c r="BJ19" i="1" s="1"/>
  <c r="BI19" i="1"/>
  <c r="BH35" i="1"/>
  <c r="BJ35" i="1" s="1"/>
  <c r="BG35" i="1"/>
  <c r="BI35" i="1" s="1"/>
  <c r="BG51" i="1"/>
  <c r="BH51" i="1"/>
  <c r="BG67" i="1"/>
  <c r="BI67" i="1"/>
  <c r="BH67" i="1"/>
  <c r="BJ67" i="1" s="1"/>
  <c r="BH20" i="1"/>
  <c r="BJ20" i="1" s="1"/>
  <c r="BG20" i="1"/>
  <c r="BI20" i="1"/>
  <c r="BH36" i="1"/>
  <c r="BJ36" i="1" s="1"/>
  <c r="BG36" i="1"/>
  <c r="BI36" i="1" s="1"/>
  <c r="BH52" i="1"/>
  <c r="BJ52" i="1" s="1"/>
  <c r="BG52" i="1"/>
  <c r="BI52" i="1"/>
  <c r="BI68" i="1"/>
  <c r="BG68" i="1"/>
  <c r="BH68" i="1"/>
  <c r="BJ68" i="1" s="1"/>
  <c r="BG21" i="1"/>
  <c r="BI21" i="1" s="1"/>
  <c r="BH21" i="1"/>
  <c r="BJ21" i="1" s="1"/>
  <c r="BG37" i="1"/>
  <c r="BH37" i="1"/>
  <c r="BJ37" i="1" s="1"/>
  <c r="BI53" i="1"/>
  <c r="BG53" i="1"/>
  <c r="BH53" i="1"/>
  <c r="BJ53" i="1" s="1"/>
  <c r="BG69" i="1"/>
  <c r="BI69" i="1"/>
  <c r="BH69" i="1"/>
  <c r="BJ69" i="1" s="1"/>
  <c r="BG22" i="1"/>
  <c r="BH22" i="1"/>
  <c r="BJ22" i="1" s="1"/>
  <c r="BG38" i="1"/>
  <c r="BH38" i="1"/>
  <c r="BH54" i="1"/>
  <c r="BJ54" i="1" s="1"/>
  <c r="BI54" i="1"/>
  <c r="BG54" i="1"/>
  <c r="BH70" i="1"/>
  <c r="BJ70" i="1" s="1"/>
  <c r="BI70" i="1"/>
  <c r="BG70" i="1"/>
  <c r="BG23" i="1"/>
  <c r="BI23" i="1" s="1"/>
  <c r="BH23" i="1"/>
  <c r="BJ23" i="1" s="1"/>
  <c r="BH39" i="1"/>
  <c r="BJ39" i="1" s="1"/>
  <c r="BG39" i="1"/>
  <c r="BI39" i="1"/>
  <c r="BI55" i="1"/>
  <c r="BG55" i="1"/>
  <c r="BH55" i="1"/>
  <c r="BJ55" i="1" s="1"/>
  <c r="BH71" i="1"/>
  <c r="BJ71" i="1" s="1"/>
  <c r="BG71" i="1"/>
  <c r="BI71" i="1"/>
  <c r="BH24" i="1"/>
  <c r="BJ24" i="1" s="1"/>
  <c r="BI24" i="1"/>
  <c r="BG24" i="1"/>
  <c r="BG40" i="1"/>
  <c r="BI40" i="1" s="1"/>
  <c r="BH40" i="1"/>
  <c r="BJ40" i="1" s="1"/>
  <c r="BG56" i="1"/>
  <c r="BH56" i="1"/>
  <c r="BJ56" i="1" s="1"/>
  <c r="BI56" i="1"/>
  <c r="BI72" i="1"/>
  <c r="BG72" i="1"/>
  <c r="BH72" i="1"/>
  <c r="BJ72" i="1" s="1"/>
  <c r="BH25" i="1"/>
  <c r="BG25" i="1"/>
  <c r="BH41" i="1"/>
  <c r="BJ41" i="1" s="1"/>
  <c r="BG41" i="1"/>
  <c r="BI41" i="1" s="1"/>
  <c r="BH57" i="1"/>
  <c r="BJ57" i="1" s="1"/>
  <c r="BI57" i="1"/>
  <c r="BG57" i="1"/>
  <c r="BH73" i="1"/>
  <c r="BJ73" i="1" s="1"/>
  <c r="BI73" i="1"/>
  <c r="BG73" i="1"/>
  <c r="BH26" i="1"/>
  <c r="BJ26" i="1" s="1"/>
  <c r="BG26" i="1"/>
  <c r="BI26" i="1" s="1"/>
  <c r="BH42" i="1"/>
  <c r="BJ42" i="1" s="1"/>
  <c r="BG42" i="1"/>
  <c r="BI42" i="1" s="1"/>
  <c r="BI58" i="1"/>
  <c r="BG58" i="1"/>
  <c r="BH58" i="1"/>
  <c r="BJ58" i="1" s="1"/>
  <c r="BG74" i="1"/>
  <c r="BI74" i="1"/>
  <c r="BH74" i="1"/>
  <c r="BJ74" i="1" s="1"/>
  <c r="BG27" i="1"/>
  <c r="BI27" i="1" s="1"/>
  <c r="BH27" i="1"/>
  <c r="BJ27" i="1" s="1"/>
  <c r="BH43" i="1"/>
  <c r="BJ43" i="1" s="1"/>
  <c r="BI43" i="1"/>
  <c r="BG43" i="1"/>
  <c r="BI59" i="1"/>
  <c r="BG59" i="1"/>
  <c r="BH59" i="1"/>
  <c r="BJ59" i="1" s="1"/>
  <c r="BI75" i="1"/>
  <c r="BH75" i="1"/>
  <c r="BJ75" i="1" s="1"/>
  <c r="BG75" i="1"/>
  <c r="BG28" i="1"/>
  <c r="BH28" i="1"/>
  <c r="BG44" i="1"/>
  <c r="BH44" i="1"/>
  <c r="BG60" i="1"/>
  <c r="BI60" i="1"/>
  <c r="BH60" i="1"/>
  <c r="BJ60" i="1" s="1"/>
  <c r="BI76" i="1"/>
  <c r="BG76" i="1"/>
  <c r="BH76" i="1"/>
  <c r="BJ76" i="1" s="1"/>
  <c r="BG29" i="1"/>
  <c r="BH29" i="1"/>
  <c r="BI61" i="1"/>
  <c r="BH61" i="1"/>
  <c r="BJ61" i="1" s="1"/>
  <c r="BG61" i="1"/>
  <c r="BG77" i="1"/>
  <c r="BH77" i="1"/>
  <c r="BJ77" i="1" s="1"/>
  <c r="BI77" i="1"/>
  <c r="AF67" i="1"/>
  <c r="AF35" i="1"/>
  <c r="BD78" i="1"/>
  <c r="BA78" i="1"/>
  <c r="BC78" i="1"/>
  <c r="BB78" i="1"/>
  <c r="BA20" i="1"/>
  <c r="BC20" i="1"/>
  <c r="BB20" i="1"/>
  <c r="BD20" i="1"/>
  <c r="BC37" i="1"/>
  <c r="BA37" i="1"/>
  <c r="BD37" i="1"/>
  <c r="BB37" i="1"/>
  <c r="AD72" i="1"/>
  <c r="AF48" i="1"/>
  <c r="AF72" i="1"/>
  <c r="AC72" i="1"/>
  <c r="BD30" i="1"/>
  <c r="BC30" i="1"/>
  <c r="BA30" i="1"/>
  <c r="BB30" i="1"/>
  <c r="BA24" i="1"/>
  <c r="BD24" i="1"/>
  <c r="BB24" i="1"/>
  <c r="BC24" i="1"/>
  <c r="BD56" i="1"/>
  <c r="BA56" i="1"/>
  <c r="BC56" i="1"/>
  <c r="BB56" i="1"/>
  <c r="BD26" i="1"/>
  <c r="BC26" i="1"/>
  <c r="BA26" i="1"/>
  <c r="BB26" i="1"/>
  <c r="BD22" i="1"/>
  <c r="BB22" i="1"/>
  <c r="BA22" i="1"/>
  <c r="BC22" i="1"/>
  <c r="BD34" i="1"/>
  <c r="BB34" i="1"/>
  <c r="BC34" i="1"/>
  <c r="BA34" i="1"/>
  <c r="BA28" i="1"/>
  <c r="BB28" i="1"/>
  <c r="BD28" i="1"/>
  <c r="BC28" i="1"/>
  <c r="BD60" i="1"/>
  <c r="BA60" i="1"/>
  <c r="BC60" i="1"/>
  <c r="BB60" i="1"/>
  <c r="BC23" i="1"/>
  <c r="BD23" i="1"/>
  <c r="BB23" i="1"/>
  <c r="BA23" i="1"/>
  <c r="BD39" i="1"/>
  <c r="BB39" i="1"/>
  <c r="BC39" i="1"/>
  <c r="BA39" i="1"/>
  <c r="BD55" i="1"/>
  <c r="BA55" i="1"/>
  <c r="BB55" i="1"/>
  <c r="BC55" i="1"/>
  <c r="BD71" i="1"/>
  <c r="BA71" i="1"/>
  <c r="BB71" i="1"/>
  <c r="BC71" i="1"/>
  <c r="BC25" i="1"/>
  <c r="BA25" i="1"/>
  <c r="BD25" i="1"/>
  <c r="BB25" i="1"/>
  <c r="BC41" i="1"/>
  <c r="BA41" i="1"/>
  <c r="BD41" i="1"/>
  <c r="BB41" i="1"/>
  <c r="BC57" i="1"/>
  <c r="BD57" i="1"/>
  <c r="BA57" i="1"/>
  <c r="BB57" i="1"/>
  <c r="BC73" i="1"/>
  <c r="BD73" i="1"/>
  <c r="BA73" i="1"/>
  <c r="BB73" i="1"/>
  <c r="BD48" i="1"/>
  <c r="BC48" i="1"/>
  <c r="BA48" i="1"/>
  <c r="BB48" i="1"/>
  <c r="BD74" i="1"/>
  <c r="BA74" i="1"/>
  <c r="BC74" i="1"/>
  <c r="BB74" i="1"/>
  <c r="BC19" i="1"/>
  <c r="BD19" i="1"/>
  <c r="BB19" i="1"/>
  <c r="BA19" i="1"/>
  <c r="BD51" i="1"/>
  <c r="BB51" i="1"/>
  <c r="BC51" i="1"/>
  <c r="BA51" i="1"/>
  <c r="BA21" i="1"/>
  <c r="BC21" i="1"/>
  <c r="BD21" i="1"/>
  <c r="BB21" i="1"/>
  <c r="BC69" i="1"/>
  <c r="BD69" i="1"/>
  <c r="BA69" i="1"/>
  <c r="BB69" i="1"/>
  <c r="AE48" i="1"/>
  <c r="AC76" i="1"/>
  <c r="AF76" i="1"/>
  <c r="BD54" i="1"/>
  <c r="BC54" i="1"/>
  <c r="BA54" i="1"/>
  <c r="BB54" i="1"/>
  <c r="BD32" i="1"/>
  <c r="BB32" i="1"/>
  <c r="BC32" i="1"/>
  <c r="BA32" i="1"/>
  <c r="BD64" i="1"/>
  <c r="BA64" i="1"/>
  <c r="BC64" i="1"/>
  <c r="BB64" i="1"/>
  <c r="BD42" i="1"/>
  <c r="BC42" i="1"/>
  <c r="BA42" i="1"/>
  <c r="BB42" i="1"/>
  <c r="BD46" i="1"/>
  <c r="BC46" i="1"/>
  <c r="BA46" i="1"/>
  <c r="BB46" i="1"/>
  <c r="BD50" i="1"/>
  <c r="BC50" i="1"/>
  <c r="BA50" i="1"/>
  <c r="BB50" i="1"/>
  <c r="BA36" i="1"/>
  <c r="BB36" i="1"/>
  <c r="BD36" i="1"/>
  <c r="BC36" i="1"/>
  <c r="BD68" i="1"/>
  <c r="BA68" i="1"/>
  <c r="BC68" i="1"/>
  <c r="BB68" i="1"/>
  <c r="BD27" i="1"/>
  <c r="BB27" i="1"/>
  <c r="BC27" i="1"/>
  <c r="BA27" i="1"/>
  <c r="BD43" i="1"/>
  <c r="BB43" i="1"/>
  <c r="BC43" i="1"/>
  <c r="BA43" i="1"/>
  <c r="BD59" i="1"/>
  <c r="BA59" i="1"/>
  <c r="BB59" i="1"/>
  <c r="BC59" i="1"/>
  <c r="BD75" i="1"/>
  <c r="BA75" i="1"/>
  <c r="BB75" i="1"/>
  <c r="BC75" i="1"/>
  <c r="BC29" i="1"/>
  <c r="BA29" i="1"/>
  <c r="BD29" i="1"/>
  <c r="BB29" i="1"/>
  <c r="BC61" i="1"/>
  <c r="BD61" i="1"/>
  <c r="BA61" i="1"/>
  <c r="BB61" i="1"/>
  <c r="BC77" i="1"/>
  <c r="BD77" i="1"/>
  <c r="BA77" i="1"/>
  <c r="BB77" i="1"/>
  <c r="BD17" i="1"/>
  <c r="BA17" i="1"/>
  <c r="BB17" i="1"/>
  <c r="BC17" i="1"/>
  <c r="BD38" i="1"/>
  <c r="BC38" i="1"/>
  <c r="BA38" i="1"/>
  <c r="BB38" i="1"/>
  <c r="BD18" i="1"/>
  <c r="BA18" i="1"/>
  <c r="BC18" i="1"/>
  <c r="BB18" i="1"/>
  <c r="BA52" i="1"/>
  <c r="BD52" i="1"/>
  <c r="BC52" i="1"/>
  <c r="BB52" i="1"/>
  <c r="BD35" i="1"/>
  <c r="BB35" i="1"/>
  <c r="BC35" i="1"/>
  <c r="BA35" i="1"/>
  <c r="BD67" i="1"/>
  <c r="BA67" i="1"/>
  <c r="BB67" i="1"/>
  <c r="BC67" i="1"/>
  <c r="BC53" i="1"/>
  <c r="BA53" i="1"/>
  <c r="BD53" i="1"/>
  <c r="BB53" i="1"/>
  <c r="AD33" i="1"/>
  <c r="AD35" i="1"/>
  <c r="AD67" i="1"/>
  <c r="AC35" i="1"/>
  <c r="BD70" i="1"/>
  <c r="BA70" i="1"/>
  <c r="BC70" i="1"/>
  <c r="BB70" i="1"/>
  <c r="BA40" i="1"/>
  <c r="BB40" i="1"/>
  <c r="BD40" i="1"/>
  <c r="BC40" i="1"/>
  <c r="BD72" i="1"/>
  <c r="BA72" i="1"/>
  <c r="BC72" i="1"/>
  <c r="BB72" i="1"/>
  <c r="BD58" i="1"/>
  <c r="BA58" i="1"/>
  <c r="BC58" i="1"/>
  <c r="BB58" i="1"/>
  <c r="BD62" i="1"/>
  <c r="BA62" i="1"/>
  <c r="BC62" i="1"/>
  <c r="BB62" i="1"/>
  <c r="BD66" i="1"/>
  <c r="BA66" i="1"/>
  <c r="BC66" i="1"/>
  <c r="BB66" i="1"/>
  <c r="BA44" i="1"/>
  <c r="BD44" i="1"/>
  <c r="BB44" i="1"/>
  <c r="BC44" i="1"/>
  <c r="BD76" i="1"/>
  <c r="BA76" i="1"/>
  <c r="BC76" i="1"/>
  <c r="BB76" i="1"/>
  <c r="BD31" i="1"/>
  <c r="BB31" i="1"/>
  <c r="BC31" i="1"/>
  <c r="BA31" i="1"/>
  <c r="BD63" i="1"/>
  <c r="BA63" i="1"/>
  <c r="BB63" i="1"/>
  <c r="BC63" i="1"/>
  <c r="BD79" i="1"/>
  <c r="BA79" i="1"/>
  <c r="BB79" i="1"/>
  <c r="BC79" i="1"/>
  <c r="BC33" i="1"/>
  <c r="BA33" i="1"/>
  <c r="BD33" i="1"/>
  <c r="BB33" i="1"/>
  <c r="BC49" i="1"/>
  <c r="BA49" i="1"/>
  <c r="BD49" i="1"/>
  <c r="BB49" i="1"/>
  <c r="BC65" i="1"/>
  <c r="BD65" i="1"/>
  <c r="BA65" i="1"/>
  <c r="BB65" i="1"/>
  <c r="AW28" i="1"/>
  <c r="AU28" i="1"/>
  <c r="AX28" i="1"/>
  <c r="AV28" i="1"/>
  <c r="AV61" i="1"/>
  <c r="AW61" i="1"/>
  <c r="AX61" i="1"/>
  <c r="AU61" i="1"/>
  <c r="AV77" i="1"/>
  <c r="AW77" i="1"/>
  <c r="AX77" i="1"/>
  <c r="AU77" i="1"/>
  <c r="AW29" i="1"/>
  <c r="AX29" i="1"/>
  <c r="AV29" i="1"/>
  <c r="AU29" i="1"/>
  <c r="AV46" i="1"/>
  <c r="AX46" i="1"/>
  <c r="AW46" i="1"/>
  <c r="AU46" i="1"/>
  <c r="AV62" i="1"/>
  <c r="AX62" i="1"/>
  <c r="AW62" i="1"/>
  <c r="AU62" i="1"/>
  <c r="AV78" i="1"/>
  <c r="AX78" i="1"/>
  <c r="AW78" i="1"/>
  <c r="AU78" i="1"/>
  <c r="AX30" i="1"/>
  <c r="AV30" i="1"/>
  <c r="AW30" i="1"/>
  <c r="AU30" i="1"/>
  <c r="AV47" i="1"/>
  <c r="AU47" i="1"/>
  <c r="AX47" i="1"/>
  <c r="AW47" i="1"/>
  <c r="AV63" i="1"/>
  <c r="AX63" i="1"/>
  <c r="AW63" i="1"/>
  <c r="AU63" i="1"/>
  <c r="AV79" i="1"/>
  <c r="AX79" i="1"/>
  <c r="AW79" i="1"/>
  <c r="AU79" i="1"/>
  <c r="AU31" i="1"/>
  <c r="AX31" i="1"/>
  <c r="AV31" i="1"/>
  <c r="AW31" i="1"/>
  <c r="AV48" i="1"/>
  <c r="AW48" i="1"/>
  <c r="AX48" i="1"/>
  <c r="AU48" i="1"/>
  <c r="AV64" i="1"/>
  <c r="AW64" i="1"/>
  <c r="AX64" i="1"/>
  <c r="AU64" i="1"/>
  <c r="AW44" i="1"/>
  <c r="AV44" i="1"/>
  <c r="AX44" i="1"/>
  <c r="AU44" i="1"/>
  <c r="AC62" i="1"/>
  <c r="AD79" i="1"/>
  <c r="AC31" i="1"/>
  <c r="AC47" i="1"/>
  <c r="AF39" i="1"/>
  <c r="AF30" i="1"/>
  <c r="AX32" i="1"/>
  <c r="AU32" i="1"/>
  <c r="AV32" i="1"/>
  <c r="AV49" i="1"/>
  <c r="AW49" i="1"/>
  <c r="AU49" i="1"/>
  <c r="AX49" i="1"/>
  <c r="AV65" i="1"/>
  <c r="AW65" i="1"/>
  <c r="AX65" i="1"/>
  <c r="AU65" i="1"/>
  <c r="AX17" i="1"/>
  <c r="AW17" i="1"/>
  <c r="AV17" i="1"/>
  <c r="AU17" i="1"/>
  <c r="AW33" i="1"/>
  <c r="AU33" i="1"/>
  <c r="AX33" i="1"/>
  <c r="AV33" i="1"/>
  <c r="AV50" i="1"/>
  <c r="AX50" i="1"/>
  <c r="AW50" i="1"/>
  <c r="AU50" i="1"/>
  <c r="AV66" i="1"/>
  <c r="AX66" i="1"/>
  <c r="AW66" i="1"/>
  <c r="AU66" i="1"/>
  <c r="AX18" i="1"/>
  <c r="AW18" i="1"/>
  <c r="AU18" i="1"/>
  <c r="AV18" i="1"/>
  <c r="AX34" i="1"/>
  <c r="AV34" i="1"/>
  <c r="AU34" i="1"/>
  <c r="AW34" i="1"/>
  <c r="AV51" i="1"/>
  <c r="AX51" i="1"/>
  <c r="AW51" i="1"/>
  <c r="AU51" i="1"/>
  <c r="AV67" i="1"/>
  <c r="AX67" i="1"/>
  <c r="AW67" i="1"/>
  <c r="AU67" i="1"/>
  <c r="AV19" i="1"/>
  <c r="AX19" i="1"/>
  <c r="AW19" i="1"/>
  <c r="AU19" i="1"/>
  <c r="AX35" i="1"/>
  <c r="AU35" i="1"/>
  <c r="AW35" i="1"/>
  <c r="AV35" i="1"/>
  <c r="AV52" i="1"/>
  <c r="AW52" i="1"/>
  <c r="AX52" i="1"/>
  <c r="AU52" i="1"/>
  <c r="AV68" i="1"/>
  <c r="AW68" i="1"/>
  <c r="AX68" i="1"/>
  <c r="AU68" i="1"/>
  <c r="AC57" i="1"/>
  <c r="AD46" i="1"/>
  <c r="AC30" i="1"/>
  <c r="AE29" i="1"/>
  <c r="AD31" i="1"/>
  <c r="AD47" i="1"/>
  <c r="AF79" i="1"/>
  <c r="AX20" i="1"/>
  <c r="AW20" i="1"/>
  <c r="AV20" i="1"/>
  <c r="AU20" i="1"/>
  <c r="AW36" i="1"/>
  <c r="AX36" i="1"/>
  <c r="AU36" i="1"/>
  <c r="AV36" i="1"/>
  <c r="AV53" i="1"/>
  <c r="AW53" i="1"/>
  <c r="AX53" i="1"/>
  <c r="AU53" i="1"/>
  <c r="AV69" i="1"/>
  <c r="AW69" i="1"/>
  <c r="AX69" i="1"/>
  <c r="AU69" i="1"/>
  <c r="AV21" i="1"/>
  <c r="AX21" i="1"/>
  <c r="AW21" i="1"/>
  <c r="AU21" i="1"/>
  <c r="AW37" i="1"/>
  <c r="AV37" i="1"/>
  <c r="AX37" i="1"/>
  <c r="AU37" i="1"/>
  <c r="AU54" i="1"/>
  <c r="AX54" i="1"/>
  <c r="AW54" i="1"/>
  <c r="AV54" i="1"/>
  <c r="AV70" i="1"/>
  <c r="AX70" i="1"/>
  <c r="AW70" i="1"/>
  <c r="AU70" i="1"/>
  <c r="AX38" i="1"/>
  <c r="AV38" i="1"/>
  <c r="AW38" i="1"/>
  <c r="AU38" i="1"/>
  <c r="AV55" i="1"/>
  <c r="AX55" i="1"/>
  <c r="AW55" i="1"/>
  <c r="AU55" i="1"/>
  <c r="AX71" i="1"/>
  <c r="AV71" i="1"/>
  <c r="AW71" i="1"/>
  <c r="AU71" i="1"/>
  <c r="AV23" i="1"/>
  <c r="AU23" i="1"/>
  <c r="AX23" i="1"/>
  <c r="AW23" i="1"/>
  <c r="AU39" i="1"/>
  <c r="AX39" i="1"/>
  <c r="AW39" i="1"/>
  <c r="AV39" i="1"/>
  <c r="AV56" i="1"/>
  <c r="AW56" i="1"/>
  <c r="AX56" i="1"/>
  <c r="AU56" i="1"/>
  <c r="AV72" i="1"/>
  <c r="AW72" i="1"/>
  <c r="AX72" i="1"/>
  <c r="AU72" i="1"/>
  <c r="AW24" i="1"/>
  <c r="AX24" i="1"/>
  <c r="AV24" i="1"/>
  <c r="AU24" i="1"/>
  <c r="AW40" i="1"/>
  <c r="AX40" i="1"/>
  <c r="AV40" i="1"/>
  <c r="AU40" i="1"/>
  <c r="AV57" i="1"/>
  <c r="AW57" i="1"/>
  <c r="AX57" i="1"/>
  <c r="AU57" i="1"/>
  <c r="AV73" i="1"/>
  <c r="AW73" i="1"/>
  <c r="AX73" i="1"/>
  <c r="AU73" i="1"/>
  <c r="AU25" i="1"/>
  <c r="AV25" i="1"/>
  <c r="AX25" i="1"/>
  <c r="AW41" i="1"/>
  <c r="AU41" i="1"/>
  <c r="AX41" i="1"/>
  <c r="AV41" i="1"/>
  <c r="AV58" i="1"/>
  <c r="AX58" i="1"/>
  <c r="AW58" i="1"/>
  <c r="AU58" i="1"/>
  <c r="AV74" i="1"/>
  <c r="AX74" i="1"/>
  <c r="AW74" i="1"/>
  <c r="AU74" i="1"/>
  <c r="AX26" i="1"/>
  <c r="AU26" i="1"/>
  <c r="AW26" i="1"/>
  <c r="AV26" i="1"/>
  <c r="AX42" i="1"/>
  <c r="AV42" i="1"/>
  <c r="AU42" i="1"/>
  <c r="AW42" i="1"/>
  <c r="AV59" i="1"/>
  <c r="AX59" i="1"/>
  <c r="AW59" i="1"/>
  <c r="AU59" i="1"/>
  <c r="AV75" i="1"/>
  <c r="AX75" i="1"/>
  <c r="AW75" i="1"/>
  <c r="AU75" i="1"/>
  <c r="AX27" i="1"/>
  <c r="AU27" i="1"/>
  <c r="AW27" i="1"/>
  <c r="AV27" i="1"/>
  <c r="AX43" i="1"/>
  <c r="AV43" i="1"/>
  <c r="AU43" i="1"/>
  <c r="AW43" i="1"/>
  <c r="AV60" i="1"/>
  <c r="AW60" i="1"/>
  <c r="AX60" i="1"/>
  <c r="AU60" i="1"/>
  <c r="AV76" i="1"/>
  <c r="AW76" i="1"/>
  <c r="AX76" i="1"/>
  <c r="AU76" i="1"/>
  <c r="AE33" i="1"/>
  <c r="AD77" i="1"/>
  <c r="AD66" i="1"/>
  <c r="AC66" i="1"/>
  <c r="AC52" i="1"/>
  <c r="AD50" i="1"/>
  <c r="AD76" i="1"/>
  <c r="AC33" i="1"/>
  <c r="AC50" i="1"/>
  <c r="AC67" i="1"/>
  <c r="AD61" i="1"/>
  <c r="AD51" i="1"/>
  <c r="AC51" i="1"/>
  <c r="AF51" i="1"/>
  <c r="AI17" i="1"/>
  <c r="AK17" i="1" s="1"/>
  <c r="AL17" i="1" s="1"/>
  <c r="AC44" i="1"/>
  <c r="AF50" i="1"/>
  <c r="AF66" i="1"/>
  <c r="AR79" i="1"/>
  <c r="AQ79" i="1"/>
  <c r="AO79" i="1"/>
  <c r="AP79" i="1"/>
  <c r="AP64" i="1"/>
  <c r="AO64" i="1"/>
  <c r="AR64" i="1"/>
  <c r="AQ64" i="1"/>
  <c r="AD49" i="1"/>
  <c r="AC21" i="1"/>
  <c r="AC49" i="1"/>
  <c r="AE68" i="1"/>
  <c r="AE37" i="1"/>
  <c r="AD71" i="1"/>
  <c r="AF71" i="1"/>
  <c r="AC68" i="1"/>
  <c r="AF32" i="1"/>
  <c r="AF38" i="1"/>
  <c r="AR35" i="1"/>
  <c r="AQ35" i="1"/>
  <c r="AO35" i="1"/>
  <c r="AP35" i="1"/>
  <c r="AP21" i="1"/>
  <c r="AR21" i="1"/>
  <c r="AQ21" i="1"/>
  <c r="AO21" i="1"/>
  <c r="AP53" i="1"/>
  <c r="AR53" i="1"/>
  <c r="AQ53" i="1"/>
  <c r="AO53" i="1"/>
  <c r="AR23" i="1"/>
  <c r="AQ23" i="1"/>
  <c r="AO23" i="1"/>
  <c r="AP23" i="1"/>
  <c r="AR55" i="1"/>
  <c r="AQ55" i="1"/>
  <c r="AO55" i="1"/>
  <c r="AP55" i="1"/>
  <c r="AR19" i="1"/>
  <c r="AP19" i="1"/>
  <c r="AO19" i="1"/>
  <c r="AQ19" i="1"/>
  <c r="AP17" i="1"/>
  <c r="AP49" i="1"/>
  <c r="AR49" i="1"/>
  <c r="AQ49" i="1"/>
  <c r="AO49" i="1"/>
  <c r="AR18" i="1"/>
  <c r="AP18" i="1"/>
  <c r="AQ18" i="1"/>
  <c r="AO18" i="1"/>
  <c r="AR34" i="1"/>
  <c r="AQ34" i="1"/>
  <c r="AO34" i="1"/>
  <c r="AP34" i="1"/>
  <c r="AR50" i="1"/>
  <c r="AQ50" i="1"/>
  <c r="AO50" i="1"/>
  <c r="AP50" i="1"/>
  <c r="AR66" i="1"/>
  <c r="AQ66" i="1"/>
  <c r="AO66" i="1"/>
  <c r="AP66" i="1"/>
  <c r="AQ20" i="1"/>
  <c r="AR20" i="1"/>
  <c r="AP20" i="1"/>
  <c r="AO20" i="1"/>
  <c r="AP36" i="1"/>
  <c r="AR36" i="1"/>
  <c r="AQ36" i="1"/>
  <c r="AO36" i="1"/>
  <c r="AP52" i="1"/>
  <c r="AO52" i="1"/>
  <c r="AR52" i="1"/>
  <c r="AQ52" i="1"/>
  <c r="AP68" i="1"/>
  <c r="AR68" i="1"/>
  <c r="AQ68" i="1"/>
  <c r="AO68" i="1"/>
  <c r="AP77" i="1"/>
  <c r="AR77" i="1"/>
  <c r="AQ77" i="1"/>
  <c r="AO77" i="1"/>
  <c r="AR59" i="1"/>
  <c r="AQ59" i="1"/>
  <c r="AO59" i="1"/>
  <c r="AP59" i="1"/>
  <c r="AP73" i="1"/>
  <c r="AR73" i="1"/>
  <c r="AQ73" i="1"/>
  <c r="AO73" i="1"/>
  <c r="AR46" i="1"/>
  <c r="AQ46" i="1"/>
  <c r="AP46" i="1"/>
  <c r="AO46" i="1"/>
  <c r="AR78" i="1"/>
  <c r="AQ78" i="1"/>
  <c r="AP78" i="1"/>
  <c r="AO78" i="1"/>
  <c r="AP48" i="1"/>
  <c r="AO48" i="1"/>
  <c r="AR48" i="1"/>
  <c r="AQ48" i="1"/>
  <c r="AC32" i="1"/>
  <c r="AE32" i="1"/>
  <c r="AD22" i="1"/>
  <c r="AC22" i="1"/>
  <c r="AE21" i="1"/>
  <c r="AE49" i="1"/>
  <c r="AD23" i="1"/>
  <c r="AD55" i="1"/>
  <c r="AF23" i="1"/>
  <c r="AF55" i="1"/>
  <c r="AF68" i="1"/>
  <c r="AR51" i="1"/>
  <c r="AQ51" i="1"/>
  <c r="AO51" i="1"/>
  <c r="AP51" i="1"/>
  <c r="AP29" i="1"/>
  <c r="AR29" i="1"/>
  <c r="AQ29" i="1"/>
  <c r="AO29" i="1"/>
  <c r="AP61" i="1"/>
  <c r="AR61" i="1"/>
  <c r="AQ61" i="1"/>
  <c r="AO61" i="1"/>
  <c r="AR31" i="1"/>
  <c r="AQ31" i="1"/>
  <c r="AO31" i="1"/>
  <c r="AP31" i="1"/>
  <c r="AR63" i="1"/>
  <c r="AQ63" i="1"/>
  <c r="AO63" i="1"/>
  <c r="AP63" i="1"/>
  <c r="AR27" i="1"/>
  <c r="AQ27" i="1"/>
  <c r="AO27" i="1"/>
  <c r="AP27" i="1"/>
  <c r="AP25" i="1"/>
  <c r="AR25" i="1"/>
  <c r="AQ25" i="1"/>
  <c r="AO25" i="1"/>
  <c r="AP57" i="1"/>
  <c r="AR57" i="1"/>
  <c r="AQ57" i="1"/>
  <c r="AO57" i="1"/>
  <c r="AR38" i="1"/>
  <c r="AQ38" i="1"/>
  <c r="AP38" i="1"/>
  <c r="AO38" i="1"/>
  <c r="AR54" i="1"/>
  <c r="AQ54" i="1"/>
  <c r="AP54" i="1"/>
  <c r="AO54" i="1"/>
  <c r="AR70" i="1"/>
  <c r="AQ70" i="1"/>
  <c r="AP70" i="1"/>
  <c r="AO70" i="1"/>
  <c r="AP24" i="1"/>
  <c r="AO24" i="1"/>
  <c r="AR24" i="1"/>
  <c r="AQ24" i="1"/>
  <c r="AP40" i="1"/>
  <c r="AO40" i="1"/>
  <c r="AR40" i="1"/>
  <c r="AQ40" i="1"/>
  <c r="AP56" i="1"/>
  <c r="AR56" i="1"/>
  <c r="AQ56" i="1"/>
  <c r="AO56" i="1"/>
  <c r="AP72" i="1"/>
  <c r="AO72" i="1"/>
  <c r="AR72" i="1"/>
  <c r="AQ72" i="1"/>
  <c r="AR75" i="1"/>
  <c r="AQ75" i="1"/>
  <c r="AO75" i="1"/>
  <c r="AP75" i="1"/>
  <c r="AR47" i="1"/>
  <c r="AQ47" i="1"/>
  <c r="AO47" i="1"/>
  <c r="AP47" i="1"/>
  <c r="AP41" i="1"/>
  <c r="AR41" i="1"/>
  <c r="AQ41" i="1"/>
  <c r="AO41" i="1"/>
  <c r="AR30" i="1"/>
  <c r="AQ30" i="1"/>
  <c r="AO30" i="1"/>
  <c r="AP30" i="1"/>
  <c r="AR62" i="1"/>
  <c r="AQ62" i="1"/>
  <c r="AP62" i="1"/>
  <c r="AO62" i="1"/>
  <c r="AP32" i="1"/>
  <c r="AR32" i="1"/>
  <c r="AQ32" i="1"/>
  <c r="AO32" i="1"/>
  <c r="AD65" i="1"/>
  <c r="AC65" i="1"/>
  <c r="AD38" i="1"/>
  <c r="AC54" i="1"/>
  <c r="AE65" i="1"/>
  <c r="AC71" i="1"/>
  <c r="AC70" i="1"/>
  <c r="AR67" i="1"/>
  <c r="AQ67" i="1"/>
  <c r="AO67" i="1"/>
  <c r="AP67" i="1"/>
  <c r="AP37" i="1"/>
  <c r="AR37" i="1"/>
  <c r="AQ37" i="1"/>
  <c r="AO37" i="1"/>
  <c r="AP69" i="1"/>
  <c r="AR69" i="1"/>
  <c r="AQ69" i="1"/>
  <c r="AO69" i="1"/>
  <c r="AR39" i="1"/>
  <c r="AQ39" i="1"/>
  <c r="AO39" i="1"/>
  <c r="AP39" i="1"/>
  <c r="AR71" i="1"/>
  <c r="AQ71" i="1"/>
  <c r="AO71" i="1"/>
  <c r="AP71" i="1"/>
  <c r="AR43" i="1"/>
  <c r="AQ43" i="1"/>
  <c r="AO43" i="1"/>
  <c r="AP43" i="1"/>
  <c r="AP33" i="1"/>
  <c r="AR33" i="1"/>
  <c r="AQ33" i="1"/>
  <c r="AO33" i="1"/>
  <c r="AP65" i="1"/>
  <c r="AR65" i="1"/>
  <c r="AQ65" i="1"/>
  <c r="AO65" i="1"/>
  <c r="AR26" i="1"/>
  <c r="AQ26" i="1"/>
  <c r="AO26" i="1"/>
  <c r="AP26" i="1"/>
  <c r="AR42" i="1"/>
  <c r="AQ42" i="1"/>
  <c r="AO42" i="1"/>
  <c r="AP42" i="1"/>
  <c r="AR58" i="1"/>
  <c r="AQ58" i="1"/>
  <c r="AO58" i="1"/>
  <c r="AP58" i="1"/>
  <c r="AR74" i="1"/>
  <c r="AQ74" i="1"/>
  <c r="AP74" i="1"/>
  <c r="AO74" i="1"/>
  <c r="AP28" i="1"/>
  <c r="AR28" i="1"/>
  <c r="AQ28" i="1"/>
  <c r="AO28" i="1"/>
  <c r="AP44" i="1"/>
  <c r="AR44" i="1"/>
  <c r="AQ44" i="1"/>
  <c r="AO44" i="1"/>
  <c r="AP60" i="1"/>
  <c r="AO60" i="1"/>
  <c r="AR60" i="1"/>
  <c r="AQ60" i="1"/>
  <c r="AP76" i="1"/>
  <c r="AR76" i="1"/>
  <c r="AQ76" i="1"/>
  <c r="AO76" i="1"/>
  <c r="AF22" i="1"/>
  <c r="AF54" i="1"/>
  <c r="AC36" i="1"/>
  <c r="AD69" i="1"/>
  <c r="AD26" i="1"/>
  <c r="AD25" i="1"/>
  <c r="AD53" i="1"/>
  <c r="AE53" i="1"/>
  <c r="AF36" i="1"/>
  <c r="AF74" i="1"/>
  <c r="AC74" i="1"/>
  <c r="AL53" i="1"/>
  <c r="AI53" i="1"/>
  <c r="AK53" i="1"/>
  <c r="AI20" i="1"/>
  <c r="AL20" i="1"/>
  <c r="AK20" i="1"/>
  <c r="AI52" i="1"/>
  <c r="AK52" i="1"/>
  <c r="AL52" i="1"/>
  <c r="AL21" i="1"/>
  <c r="AK21" i="1"/>
  <c r="AI21" i="1"/>
  <c r="AL49" i="1"/>
  <c r="AI49" i="1"/>
  <c r="AK49" i="1"/>
  <c r="AI48" i="1"/>
  <c r="AK48" i="1"/>
  <c r="AL48" i="1"/>
  <c r="AK18" i="1"/>
  <c r="AL18" i="1" s="1"/>
  <c r="AI18" i="1"/>
  <c r="AL34" i="1"/>
  <c r="AI34" i="1"/>
  <c r="AK34" i="1"/>
  <c r="AL50" i="1"/>
  <c r="AI50" i="1"/>
  <c r="AK50" i="1"/>
  <c r="AL66" i="1"/>
  <c r="AI66" i="1"/>
  <c r="AK66" i="1"/>
  <c r="AK19" i="1"/>
  <c r="AL19" i="1" s="1"/>
  <c r="AI19" i="1"/>
  <c r="AK35" i="1"/>
  <c r="AL35" i="1"/>
  <c r="AI35" i="1"/>
  <c r="AK51" i="1"/>
  <c r="AL51" i="1"/>
  <c r="AI51" i="1"/>
  <c r="AK67" i="1"/>
  <c r="AL67" i="1"/>
  <c r="AI67" i="1"/>
  <c r="AC40" i="1"/>
  <c r="AD57" i="1"/>
  <c r="AD73" i="1"/>
  <c r="AC25" i="1"/>
  <c r="AC41" i="1"/>
  <c r="AD30" i="1"/>
  <c r="AE57" i="1"/>
  <c r="AF40" i="1"/>
  <c r="AF60" i="1"/>
  <c r="AF58" i="1"/>
  <c r="AL77" i="1"/>
  <c r="AI77" i="1"/>
  <c r="AK77" i="1"/>
  <c r="AI76" i="1"/>
  <c r="AK76" i="1"/>
  <c r="AL76" i="1"/>
  <c r="AI44" i="1"/>
  <c r="AK44" i="1"/>
  <c r="AL44" i="1"/>
  <c r="AL73" i="1"/>
  <c r="AI73" i="1"/>
  <c r="AK73" i="1"/>
  <c r="AL41" i="1"/>
  <c r="AI41" i="1"/>
  <c r="AK41" i="1"/>
  <c r="AI72" i="1"/>
  <c r="AK72" i="1"/>
  <c r="AL72" i="1"/>
  <c r="AI40" i="1"/>
  <c r="AK40" i="1"/>
  <c r="AL40" i="1"/>
  <c r="AL38" i="1"/>
  <c r="AK38" i="1"/>
  <c r="AI38" i="1"/>
  <c r="AL54" i="1"/>
  <c r="AK54" i="1"/>
  <c r="AI54" i="1"/>
  <c r="AL70" i="1"/>
  <c r="AK70" i="1"/>
  <c r="AI70" i="1"/>
  <c r="AL23" i="1"/>
  <c r="AK23" i="1"/>
  <c r="AI23" i="1"/>
  <c r="AK39" i="1"/>
  <c r="AL39" i="1"/>
  <c r="AI39" i="1"/>
  <c r="AK55" i="1"/>
  <c r="AL55" i="1"/>
  <c r="AI55" i="1"/>
  <c r="AK71" i="1"/>
  <c r="AL71" i="1"/>
  <c r="AI71" i="1"/>
  <c r="AD21" i="1"/>
  <c r="AD41" i="1"/>
  <c r="AC69" i="1"/>
  <c r="AD54" i="1"/>
  <c r="AD70" i="1"/>
  <c r="AC42" i="1"/>
  <c r="AC58" i="1"/>
  <c r="AE25" i="1"/>
  <c r="AE41" i="1"/>
  <c r="AF42" i="1"/>
  <c r="AL69" i="1"/>
  <c r="AI69" i="1"/>
  <c r="AK69" i="1"/>
  <c r="AL37" i="1"/>
  <c r="AI37" i="1"/>
  <c r="AK37" i="1"/>
  <c r="AI68" i="1"/>
  <c r="AK68" i="1"/>
  <c r="AL68" i="1"/>
  <c r="AI36" i="1"/>
  <c r="AK36" i="1"/>
  <c r="AL36" i="1"/>
  <c r="AL65" i="1"/>
  <c r="AI65" i="1"/>
  <c r="AK65" i="1"/>
  <c r="AL33" i="1"/>
  <c r="AI33" i="1"/>
  <c r="AK33" i="1"/>
  <c r="AI64" i="1"/>
  <c r="AK64" i="1"/>
  <c r="AL64" i="1"/>
  <c r="AI32" i="1"/>
  <c r="AK32" i="1"/>
  <c r="AL32" i="1"/>
  <c r="AL26" i="1"/>
  <c r="AI26" i="1"/>
  <c r="AK26" i="1"/>
  <c r="AL42" i="1"/>
  <c r="AI42" i="1"/>
  <c r="AK42" i="1"/>
  <c r="AL58" i="1"/>
  <c r="AI58" i="1"/>
  <c r="AK58" i="1"/>
  <c r="AL74" i="1"/>
  <c r="AI74" i="1"/>
  <c r="AK74" i="1"/>
  <c r="AK27" i="1"/>
  <c r="AL27" i="1"/>
  <c r="AI27" i="1"/>
  <c r="AK43" i="1"/>
  <c r="AL43" i="1"/>
  <c r="AI43" i="1"/>
  <c r="AK59" i="1"/>
  <c r="AL59" i="1"/>
  <c r="AI59" i="1"/>
  <c r="AK75" i="1"/>
  <c r="AI75" i="1"/>
  <c r="AL75" i="1"/>
  <c r="AC53" i="1"/>
  <c r="AC73" i="1"/>
  <c r="AE36" i="1"/>
  <c r="AD42" i="1"/>
  <c r="AD58" i="1"/>
  <c r="AD74" i="1"/>
  <c r="AC26" i="1"/>
  <c r="AE69" i="1"/>
  <c r="AD59" i="1"/>
  <c r="AD75" i="1"/>
  <c r="AC59" i="1"/>
  <c r="AC75" i="1"/>
  <c r="AF59" i="1"/>
  <c r="AF75" i="1"/>
  <c r="AC60" i="1"/>
  <c r="AF26" i="1"/>
  <c r="AF70" i="1"/>
  <c r="AL61" i="1"/>
  <c r="AI61" i="1"/>
  <c r="AK61" i="1"/>
  <c r="AL29" i="1"/>
  <c r="AI29" i="1"/>
  <c r="AK29" i="1"/>
  <c r="AI60" i="1"/>
  <c r="AK60" i="1"/>
  <c r="AL60" i="1"/>
  <c r="AI28" i="1"/>
  <c r="AK28" i="1"/>
  <c r="AL28" i="1"/>
  <c r="AL57" i="1"/>
  <c r="AI57" i="1"/>
  <c r="AK57" i="1"/>
  <c r="AL25" i="1"/>
  <c r="AI25" i="1"/>
  <c r="AK25" i="1"/>
  <c r="AI56" i="1"/>
  <c r="AK56" i="1"/>
  <c r="AL56" i="1"/>
  <c r="AI24" i="1"/>
  <c r="AL24" i="1"/>
  <c r="AK24" i="1"/>
  <c r="AL30" i="1"/>
  <c r="AK30" i="1"/>
  <c r="AI30" i="1"/>
  <c r="AL46" i="1"/>
  <c r="AK46" i="1"/>
  <c r="AI46" i="1"/>
  <c r="AL62" i="1"/>
  <c r="AK62" i="1"/>
  <c r="AI62" i="1"/>
  <c r="AL78" i="1"/>
  <c r="AK78" i="1"/>
  <c r="AI78" i="1"/>
  <c r="AK31" i="1"/>
  <c r="AL31" i="1"/>
  <c r="AI31" i="1"/>
  <c r="AK47" i="1"/>
  <c r="AL47" i="1"/>
  <c r="AI47" i="1"/>
  <c r="AK63" i="1"/>
  <c r="AL63" i="1"/>
  <c r="AI63" i="1"/>
  <c r="AK79" i="1"/>
  <c r="AL79" i="1"/>
  <c r="AI79" i="1"/>
  <c r="AD29" i="1"/>
  <c r="AD34" i="1"/>
  <c r="AC34" i="1"/>
  <c r="AE28" i="1"/>
  <c r="AE44" i="1"/>
  <c r="AF28" i="1"/>
  <c r="AF44" i="1"/>
  <c r="AF46" i="1"/>
  <c r="AF62" i="1"/>
  <c r="AC28" i="1"/>
  <c r="AC61" i="1"/>
  <c r="AC77" i="1"/>
  <c r="AE61" i="1"/>
  <c r="AE77" i="1"/>
  <c r="AF34" i="1"/>
  <c r="BI38" i="1" l="1"/>
  <c r="BJ38" i="1"/>
  <c r="BI51" i="1"/>
  <c r="BJ51" i="1"/>
  <c r="BI29" i="1"/>
  <c r="BJ29" i="1"/>
  <c r="BI44" i="1"/>
  <c r="BJ44" i="1"/>
  <c r="BI50" i="1"/>
  <c r="BJ50" i="1"/>
  <c r="BI28" i="1"/>
  <c r="BJ28" i="1"/>
  <c r="BI25" i="1"/>
  <c r="BJ25" i="1"/>
  <c r="J7" i="1"/>
  <c r="J8" i="1"/>
  <c r="J9" i="1"/>
  <c r="J10" i="1"/>
  <c r="J11" i="1"/>
  <c r="F4" i="1"/>
  <c r="H53" i="4"/>
  <c r="H54" i="4"/>
  <c r="D54" i="4"/>
  <c r="D53" i="4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18" i="1"/>
  <c r="B17" i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7" i="4"/>
  <c r="B32" i="4"/>
  <c r="B33" i="4"/>
  <c r="B34" i="4"/>
  <c r="B35" i="4"/>
  <c r="B31" i="4"/>
  <c r="B30" i="4"/>
  <c r="B29" i="4"/>
  <c r="B28" i="4"/>
  <c r="B27" i="4"/>
  <c r="B26" i="4"/>
  <c r="B25" i="4"/>
  <c r="B24" i="4"/>
  <c r="B23" i="4"/>
  <c r="B22" i="4"/>
  <c r="B21" i="4"/>
  <c r="B20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J6" i="1"/>
  <c r="E3" i="1"/>
  <c r="C18" i="1"/>
  <c r="C19" i="1"/>
  <c r="C20" i="1"/>
  <c r="C21" i="1"/>
  <c r="C22" i="1"/>
  <c r="AT22" i="1" s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BF45" i="1" s="1"/>
  <c r="C46" i="1"/>
  <c r="C47" i="1"/>
  <c r="AZ47" i="1" s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D75" i="1"/>
  <c r="D76" i="1"/>
  <c r="D77" i="1"/>
  <c r="D78" i="1"/>
  <c r="D79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C17" i="1"/>
  <c r="D17" i="1"/>
  <c r="W79" i="1" l="1"/>
  <c r="W17" i="1"/>
  <c r="BH45" i="1"/>
  <c r="BG45" i="1"/>
  <c r="V75" i="1"/>
  <c r="U75" i="1" s="1"/>
  <c r="AT45" i="1"/>
  <c r="AZ45" i="1"/>
  <c r="BB47" i="1"/>
  <c r="BA47" i="1"/>
  <c r="BC47" i="1" s="1"/>
  <c r="AU22" i="1"/>
  <c r="AV22" i="1"/>
  <c r="AN45" i="1"/>
  <c r="AH45" i="1"/>
  <c r="AJ45" i="1" s="1"/>
  <c r="AN22" i="1"/>
  <c r="AH22" i="1"/>
  <c r="AJ22" i="1" s="1"/>
  <c r="AB17" i="1"/>
  <c r="AD17" i="1" s="1"/>
  <c r="E74" i="1"/>
  <c r="E66" i="1"/>
  <c r="E54" i="1"/>
  <c r="M54" i="1" s="1"/>
  <c r="E46" i="1"/>
  <c r="E34" i="1"/>
  <c r="E26" i="1"/>
  <c r="E22" i="1"/>
  <c r="M22" i="1" s="1"/>
  <c r="E73" i="1"/>
  <c r="E65" i="1"/>
  <c r="E53" i="1"/>
  <c r="M53" i="1" s="1"/>
  <c r="E41" i="1"/>
  <c r="M41" i="1" s="1"/>
  <c r="E33" i="1"/>
  <c r="E25" i="1"/>
  <c r="M25" i="1" s="1"/>
  <c r="E78" i="1"/>
  <c r="E58" i="1"/>
  <c r="E38" i="1"/>
  <c r="E77" i="1"/>
  <c r="M77" i="1" s="1"/>
  <c r="E61" i="1"/>
  <c r="M61" i="1" s="1"/>
  <c r="E45" i="1"/>
  <c r="AB45" i="1"/>
  <c r="E21" i="1"/>
  <c r="M21" i="1" s="1"/>
  <c r="E76" i="1"/>
  <c r="M76" i="1" s="1"/>
  <c r="E72" i="1"/>
  <c r="M72" i="1" s="1"/>
  <c r="E68" i="1"/>
  <c r="M68" i="1" s="1"/>
  <c r="E64" i="1"/>
  <c r="M64" i="1" s="1"/>
  <c r="E60" i="1"/>
  <c r="M60" i="1" s="1"/>
  <c r="E56" i="1"/>
  <c r="M56" i="1" s="1"/>
  <c r="E52" i="1"/>
  <c r="E48" i="1"/>
  <c r="M48" i="1" s="1"/>
  <c r="E44" i="1"/>
  <c r="M44" i="1" s="1"/>
  <c r="E40" i="1"/>
  <c r="M40" i="1" s="1"/>
  <c r="E36" i="1"/>
  <c r="M36" i="1" s="1"/>
  <c r="E32" i="1"/>
  <c r="M32" i="1" s="1"/>
  <c r="E28" i="1"/>
  <c r="M28" i="1" s="1"/>
  <c r="E24" i="1"/>
  <c r="M24" i="1" s="1"/>
  <c r="E20" i="1"/>
  <c r="M20" i="1" s="1"/>
  <c r="E70" i="1"/>
  <c r="M70" i="1" s="1"/>
  <c r="E62" i="1"/>
  <c r="E50" i="1"/>
  <c r="E42" i="1"/>
  <c r="M42" i="1" s="1"/>
  <c r="E30" i="1"/>
  <c r="M30" i="1" s="1"/>
  <c r="E18" i="1"/>
  <c r="E69" i="1"/>
  <c r="E57" i="1"/>
  <c r="M57" i="1" s="1"/>
  <c r="E49" i="1"/>
  <c r="M49" i="1" s="1"/>
  <c r="E37" i="1"/>
  <c r="M37" i="1" s="1"/>
  <c r="E29" i="1"/>
  <c r="M29" i="1" s="1"/>
  <c r="E79" i="1"/>
  <c r="E75" i="1"/>
  <c r="M75" i="1" s="1"/>
  <c r="E71" i="1"/>
  <c r="E67" i="1"/>
  <c r="E63" i="1"/>
  <c r="E59" i="1"/>
  <c r="E55" i="1"/>
  <c r="E51" i="1"/>
  <c r="E47" i="1"/>
  <c r="M47" i="1" s="1"/>
  <c r="E43" i="1"/>
  <c r="E39" i="1"/>
  <c r="E35" i="1"/>
  <c r="E31" i="1"/>
  <c r="M31" i="1" s="1"/>
  <c r="E27" i="1"/>
  <c r="M27" i="1" s="1"/>
  <c r="E23" i="1"/>
  <c r="E19" i="1"/>
  <c r="V24" i="1"/>
  <c r="V21" i="1"/>
  <c r="F11" i="1"/>
  <c r="W19" i="1"/>
  <c r="W23" i="1"/>
  <c r="W27" i="1"/>
  <c r="W31" i="1"/>
  <c r="W35" i="1"/>
  <c r="W39" i="1"/>
  <c r="W43" i="1"/>
  <c r="W47" i="1"/>
  <c r="W51" i="1"/>
  <c r="W55" i="1"/>
  <c r="W59" i="1"/>
  <c r="W63" i="1"/>
  <c r="W67" i="1"/>
  <c r="W71" i="1"/>
  <c r="V57" i="1"/>
  <c r="W76" i="1"/>
  <c r="X76" i="1" s="1"/>
  <c r="V17" i="1"/>
  <c r="V22" i="1"/>
  <c r="F10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3" i="1"/>
  <c r="W77" i="1"/>
  <c r="X77" i="1" s="1"/>
  <c r="V19" i="1"/>
  <c r="V23" i="1"/>
  <c r="F9" i="1"/>
  <c r="V18" i="1"/>
  <c r="W21" i="1"/>
  <c r="W25" i="1"/>
  <c r="W29" i="1"/>
  <c r="W33" i="1"/>
  <c r="W37" i="1"/>
  <c r="W41" i="1"/>
  <c r="W45" i="1"/>
  <c r="W49" i="1"/>
  <c r="W53" i="1"/>
  <c r="W57" i="1"/>
  <c r="W61" i="1"/>
  <c r="W65" i="1"/>
  <c r="W69" i="1"/>
  <c r="V59" i="1"/>
  <c r="W74" i="1"/>
  <c r="W78" i="1"/>
  <c r="X78" i="1" s="1"/>
  <c r="V20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V58" i="1"/>
  <c r="W75" i="1"/>
  <c r="X75" i="1" s="1"/>
  <c r="F6" i="1"/>
  <c r="F8" i="1"/>
  <c r="F7" i="1"/>
  <c r="E43" i="4" s="1"/>
  <c r="F3" i="1"/>
  <c r="X79" i="1"/>
  <c r="S75" i="1"/>
  <c r="S31" i="1"/>
  <c r="S42" i="1"/>
  <c r="S57" i="1"/>
  <c r="S68" i="1"/>
  <c r="S36" i="1"/>
  <c r="S32" i="1"/>
  <c r="S47" i="1"/>
  <c r="V79" i="1"/>
  <c r="U79" i="1" s="1"/>
  <c r="V78" i="1"/>
  <c r="U78" i="1" s="1"/>
  <c r="V77" i="1"/>
  <c r="U77" i="1" s="1"/>
  <c r="V76" i="1"/>
  <c r="U76" i="1" s="1"/>
  <c r="D3" i="2"/>
  <c r="E3" i="2"/>
  <c r="F3" i="2"/>
  <c r="H3" i="2"/>
  <c r="I3" i="2"/>
  <c r="J3" i="2"/>
  <c r="K3" i="2"/>
  <c r="L3" i="2"/>
  <c r="M3" i="2"/>
  <c r="N3" i="2"/>
  <c r="O3" i="2"/>
  <c r="P3" i="2"/>
  <c r="Q3" i="2"/>
  <c r="R3" i="2"/>
  <c r="S3" i="2"/>
  <c r="T3" i="2"/>
  <c r="V3" i="2"/>
  <c r="W3" i="2"/>
  <c r="AA3" i="2"/>
  <c r="Z3" i="2"/>
  <c r="U3" i="2"/>
  <c r="X3" i="2"/>
  <c r="Y3" i="2"/>
  <c r="G3" i="2"/>
  <c r="E17" i="1"/>
  <c r="S17" i="1" l="1"/>
  <c r="M17" i="1"/>
  <c r="S63" i="1"/>
  <c r="M63" i="1"/>
  <c r="S79" i="1"/>
  <c r="Y79" i="1" s="1"/>
  <c r="Z79" i="1" s="1"/>
  <c r="M79" i="1"/>
  <c r="S52" i="1"/>
  <c r="M52" i="1"/>
  <c r="S38" i="1"/>
  <c r="M38" i="1"/>
  <c r="S33" i="1"/>
  <c r="M33" i="1"/>
  <c r="S73" i="1"/>
  <c r="M73" i="1"/>
  <c r="S46" i="1"/>
  <c r="M46" i="1"/>
  <c r="BI45" i="1"/>
  <c r="S19" i="1"/>
  <c r="M19" i="1"/>
  <c r="S35" i="1"/>
  <c r="M35" i="1"/>
  <c r="S51" i="1"/>
  <c r="M51" i="1"/>
  <c r="S67" i="1"/>
  <c r="M67" i="1"/>
  <c r="S69" i="1"/>
  <c r="M69" i="1"/>
  <c r="S50" i="1"/>
  <c r="M50" i="1"/>
  <c r="S45" i="1"/>
  <c r="M45" i="1"/>
  <c r="S58" i="1"/>
  <c r="M58" i="1"/>
  <c r="S23" i="1"/>
  <c r="M23" i="1"/>
  <c r="S39" i="1"/>
  <c r="M39" i="1"/>
  <c r="S55" i="1"/>
  <c r="M55" i="1"/>
  <c r="S71" i="1"/>
  <c r="M71" i="1"/>
  <c r="S18" i="1"/>
  <c r="M18" i="1"/>
  <c r="S62" i="1"/>
  <c r="M62" i="1"/>
  <c r="S78" i="1"/>
  <c r="M78" i="1"/>
  <c r="S26" i="1"/>
  <c r="M26" i="1"/>
  <c r="S66" i="1"/>
  <c r="M66" i="1"/>
  <c r="S43" i="1"/>
  <c r="M43" i="1"/>
  <c r="S59" i="1"/>
  <c r="M59" i="1"/>
  <c r="S65" i="1"/>
  <c r="M65" i="1"/>
  <c r="S34" i="1"/>
  <c r="M34" i="1"/>
  <c r="S74" i="1"/>
  <c r="M74" i="1"/>
  <c r="S20" i="1"/>
  <c r="BA45" i="1"/>
  <c r="BB45" i="1"/>
  <c r="S22" i="1"/>
  <c r="AW22" i="1"/>
  <c r="S70" i="1"/>
  <c r="S24" i="1"/>
  <c r="S29" i="1"/>
  <c r="S64" i="1"/>
  <c r="S49" i="1"/>
  <c r="S27" i="1"/>
  <c r="S30" i="1"/>
  <c r="S40" i="1"/>
  <c r="S56" i="1"/>
  <c r="AI45" i="1"/>
  <c r="S72" i="1"/>
  <c r="S54" i="1"/>
  <c r="AP45" i="1"/>
  <c r="AO45" i="1"/>
  <c r="AI22" i="1"/>
  <c r="S48" i="1"/>
  <c r="S21" i="1"/>
  <c r="AO22" i="1"/>
  <c r="AQ22" i="1" s="1"/>
  <c r="AP22" i="1"/>
  <c r="S53" i="1"/>
  <c r="S61" i="1"/>
  <c r="S28" i="1"/>
  <c r="S60" i="1"/>
  <c r="S76" i="1"/>
  <c r="S37" i="1"/>
  <c r="S44" i="1"/>
  <c r="AC17" i="1"/>
  <c r="S25" i="1"/>
  <c r="S41" i="1"/>
  <c r="S77" i="1"/>
  <c r="Y75" i="1"/>
  <c r="Z75" i="1" s="1"/>
  <c r="AC45" i="1"/>
  <c r="AE45" i="1" s="1"/>
  <c r="AD45" i="1"/>
  <c r="AD16" i="1" s="1"/>
  <c r="Y76" i="1"/>
  <c r="Z76" i="1" s="1"/>
  <c r="Y78" i="1"/>
  <c r="O17" i="1"/>
  <c r="N79" i="1"/>
  <c r="O79" i="1" s="1"/>
  <c r="P79" i="1" s="1"/>
  <c r="O18" i="1"/>
  <c r="N76" i="1"/>
  <c r="O76" i="1" s="1"/>
  <c r="P76" i="1" s="1"/>
  <c r="N72" i="1"/>
  <c r="O72" i="1" s="1"/>
  <c r="P72" i="1" s="1"/>
  <c r="N68" i="1"/>
  <c r="O68" i="1" s="1"/>
  <c r="P68" i="1" s="1"/>
  <c r="N64" i="1"/>
  <c r="O64" i="1" s="1"/>
  <c r="P64" i="1" s="1"/>
  <c r="N60" i="1"/>
  <c r="O60" i="1" s="1"/>
  <c r="P60" i="1" s="1"/>
  <c r="N56" i="1"/>
  <c r="O56" i="1" s="1"/>
  <c r="P56" i="1" s="1"/>
  <c r="N52" i="1"/>
  <c r="O52" i="1" s="1"/>
  <c r="P52" i="1" s="1"/>
  <c r="N48" i="1"/>
  <c r="O48" i="1" s="1"/>
  <c r="P48" i="1" s="1"/>
  <c r="N44" i="1"/>
  <c r="O44" i="1" s="1"/>
  <c r="P44" i="1" s="1"/>
  <c r="N40" i="1"/>
  <c r="O40" i="1" s="1"/>
  <c r="P40" i="1" s="1"/>
  <c r="N36" i="1"/>
  <c r="O36" i="1" s="1"/>
  <c r="P36" i="1" s="1"/>
  <c r="N32" i="1"/>
  <c r="O32" i="1" s="1"/>
  <c r="P32" i="1" s="1"/>
  <c r="N28" i="1"/>
  <c r="O28" i="1" s="1"/>
  <c r="P28" i="1" s="1"/>
  <c r="O24" i="1"/>
  <c r="P24" i="1" s="1"/>
  <c r="O20" i="1"/>
  <c r="P20" i="1" s="1"/>
  <c r="N75" i="1"/>
  <c r="O75" i="1" s="1"/>
  <c r="P75" i="1" s="1"/>
  <c r="N71" i="1"/>
  <c r="O71" i="1" s="1"/>
  <c r="N67" i="1"/>
  <c r="O67" i="1" s="1"/>
  <c r="P67" i="1" s="1"/>
  <c r="N63" i="1"/>
  <c r="O63" i="1" s="1"/>
  <c r="P63" i="1" s="1"/>
  <c r="N59" i="1"/>
  <c r="O59" i="1" s="1"/>
  <c r="N55" i="1"/>
  <c r="O55" i="1" s="1"/>
  <c r="N51" i="1"/>
  <c r="O51" i="1" s="1"/>
  <c r="P51" i="1" s="1"/>
  <c r="N47" i="1"/>
  <c r="O47" i="1" s="1"/>
  <c r="P47" i="1" s="1"/>
  <c r="N43" i="1"/>
  <c r="O43" i="1" s="1"/>
  <c r="N39" i="1"/>
  <c r="O39" i="1" s="1"/>
  <c r="N35" i="1"/>
  <c r="O35" i="1" s="1"/>
  <c r="N31" i="1"/>
  <c r="O31" i="1" s="1"/>
  <c r="P31" i="1" s="1"/>
  <c r="N27" i="1"/>
  <c r="O27" i="1" s="1"/>
  <c r="P27" i="1" s="1"/>
  <c r="O23" i="1"/>
  <c r="O19" i="1"/>
  <c r="N78" i="1"/>
  <c r="O78" i="1" s="1"/>
  <c r="P78" i="1" s="1"/>
  <c r="N74" i="1"/>
  <c r="O74" i="1" s="1"/>
  <c r="N70" i="1"/>
  <c r="O70" i="1" s="1"/>
  <c r="P70" i="1" s="1"/>
  <c r="N66" i="1"/>
  <c r="O66" i="1" s="1"/>
  <c r="P66" i="1" s="1"/>
  <c r="N62" i="1"/>
  <c r="O62" i="1" s="1"/>
  <c r="N58" i="1"/>
  <c r="O58" i="1" s="1"/>
  <c r="N54" i="1"/>
  <c r="O54" i="1" s="1"/>
  <c r="P54" i="1" s="1"/>
  <c r="N50" i="1"/>
  <c r="O50" i="1" s="1"/>
  <c r="P50" i="1" s="1"/>
  <c r="N46" i="1"/>
  <c r="O46" i="1" s="1"/>
  <c r="P46" i="1" s="1"/>
  <c r="N42" i="1"/>
  <c r="O42" i="1" s="1"/>
  <c r="P42" i="1" s="1"/>
  <c r="N38" i="1"/>
  <c r="O38" i="1" s="1"/>
  <c r="P38" i="1" s="1"/>
  <c r="N34" i="1"/>
  <c r="O34" i="1" s="1"/>
  <c r="N30" i="1"/>
  <c r="O30" i="1" s="1"/>
  <c r="P30" i="1" s="1"/>
  <c r="O26" i="1"/>
  <c r="O22" i="1"/>
  <c r="P22" i="1" s="1"/>
  <c r="N77" i="1"/>
  <c r="O77" i="1" s="1"/>
  <c r="P77" i="1" s="1"/>
  <c r="N73" i="1"/>
  <c r="O73" i="1" s="1"/>
  <c r="P73" i="1" s="1"/>
  <c r="N69" i="1"/>
  <c r="O69" i="1" s="1"/>
  <c r="P69" i="1" s="1"/>
  <c r="N65" i="1"/>
  <c r="O65" i="1" s="1"/>
  <c r="N61" i="1"/>
  <c r="O61" i="1" s="1"/>
  <c r="P61" i="1" s="1"/>
  <c r="N57" i="1"/>
  <c r="O57" i="1" s="1"/>
  <c r="P57" i="1" s="1"/>
  <c r="N53" i="1"/>
  <c r="O53" i="1" s="1"/>
  <c r="P53" i="1" s="1"/>
  <c r="N49" i="1"/>
  <c r="O49" i="1" s="1"/>
  <c r="P49" i="1" s="1"/>
  <c r="N45" i="1"/>
  <c r="O45" i="1" s="1"/>
  <c r="N41" i="1"/>
  <c r="O41" i="1" s="1"/>
  <c r="P41" i="1" s="1"/>
  <c r="N37" i="1"/>
  <c r="O37" i="1" s="1"/>
  <c r="P37" i="1" s="1"/>
  <c r="N33" i="1"/>
  <c r="O33" i="1" s="1"/>
  <c r="P33" i="1" s="1"/>
  <c r="N29" i="1"/>
  <c r="O29" i="1" s="1"/>
  <c r="P29" i="1" s="1"/>
  <c r="O25" i="1"/>
  <c r="P25" i="1" s="1"/>
  <c r="O21" i="1"/>
  <c r="P21" i="1" s="1"/>
  <c r="X18" i="1"/>
  <c r="Y18" i="1" s="1"/>
  <c r="X19" i="1"/>
  <c r="Y19" i="1" s="1"/>
  <c r="Z19" i="1" s="1"/>
  <c r="X20" i="1"/>
  <c r="Y20" i="1" s="1"/>
  <c r="Z20" i="1" s="1"/>
  <c r="X21" i="1"/>
  <c r="X22" i="1"/>
  <c r="Y22" i="1" s="1"/>
  <c r="Z22" i="1" s="1"/>
  <c r="X24" i="1"/>
  <c r="Y24" i="1" s="1"/>
  <c r="Z24" i="1" s="1"/>
  <c r="X25" i="1"/>
  <c r="X26" i="1"/>
  <c r="Y26" i="1" s="1"/>
  <c r="Z26" i="1" s="1"/>
  <c r="X27" i="1"/>
  <c r="Y27" i="1" s="1"/>
  <c r="Z27" i="1" s="1"/>
  <c r="X28" i="1"/>
  <c r="X29" i="1"/>
  <c r="X30" i="1"/>
  <c r="X31" i="1"/>
  <c r="Y31" i="1" s="1"/>
  <c r="Z31" i="1" s="1"/>
  <c r="X32" i="1"/>
  <c r="Y32" i="1" s="1"/>
  <c r="Z32" i="1" s="1"/>
  <c r="X33" i="1"/>
  <c r="Y33" i="1" s="1"/>
  <c r="Z33" i="1" s="1"/>
  <c r="X34" i="1"/>
  <c r="Y34" i="1" s="1"/>
  <c r="Z34" i="1" s="1"/>
  <c r="X35" i="1"/>
  <c r="Y35" i="1" s="1"/>
  <c r="Z35" i="1" s="1"/>
  <c r="X36" i="1"/>
  <c r="Y36" i="1" s="1"/>
  <c r="Z36" i="1" s="1"/>
  <c r="X37" i="1"/>
  <c r="X38" i="1"/>
  <c r="Y38" i="1" s="1"/>
  <c r="Z38" i="1" s="1"/>
  <c r="X39" i="1"/>
  <c r="Y39" i="1" s="1"/>
  <c r="Z39" i="1" s="1"/>
  <c r="X40" i="1"/>
  <c r="Y40" i="1" s="1"/>
  <c r="Z40" i="1" s="1"/>
  <c r="X41" i="1"/>
  <c r="X42" i="1"/>
  <c r="Y42" i="1" s="1"/>
  <c r="Z42" i="1" s="1"/>
  <c r="X43" i="1"/>
  <c r="Y43" i="1" s="1"/>
  <c r="Z43" i="1" s="1"/>
  <c r="X44" i="1"/>
  <c r="Y44" i="1" s="1"/>
  <c r="Z44" i="1" s="1"/>
  <c r="X45" i="1"/>
  <c r="Y45" i="1" s="1"/>
  <c r="Z45" i="1" s="1"/>
  <c r="X46" i="1"/>
  <c r="Y46" i="1" s="1"/>
  <c r="Z46" i="1" s="1"/>
  <c r="X47" i="1"/>
  <c r="Y47" i="1" s="1"/>
  <c r="Z47" i="1" s="1"/>
  <c r="X48" i="1"/>
  <c r="Y48" i="1" s="1"/>
  <c r="Z48" i="1" s="1"/>
  <c r="X49" i="1"/>
  <c r="X50" i="1"/>
  <c r="Y50" i="1" s="1"/>
  <c r="Z50" i="1" s="1"/>
  <c r="X51" i="1"/>
  <c r="Y51" i="1" s="1"/>
  <c r="Z51" i="1" s="1"/>
  <c r="X52" i="1"/>
  <c r="Y52" i="1" s="1"/>
  <c r="Z52" i="1" s="1"/>
  <c r="X53" i="1"/>
  <c r="X54" i="1"/>
  <c r="X55" i="1"/>
  <c r="Y55" i="1" s="1"/>
  <c r="Z55" i="1" s="1"/>
  <c r="X56" i="1"/>
  <c r="X57" i="1"/>
  <c r="Y57" i="1" s="1"/>
  <c r="Z57" i="1" s="1"/>
  <c r="X58" i="1"/>
  <c r="Y58" i="1" s="1"/>
  <c r="Z58" i="1" s="1"/>
  <c r="X59" i="1"/>
  <c r="Y59" i="1" s="1"/>
  <c r="Z59" i="1" s="1"/>
  <c r="X60" i="1"/>
  <c r="X61" i="1"/>
  <c r="X62" i="1"/>
  <c r="Y62" i="1" s="1"/>
  <c r="Z62" i="1" s="1"/>
  <c r="X63" i="1"/>
  <c r="Y63" i="1" s="1"/>
  <c r="Z63" i="1" s="1"/>
  <c r="X64" i="1"/>
  <c r="Y64" i="1" s="1"/>
  <c r="Z64" i="1" s="1"/>
  <c r="X65" i="1"/>
  <c r="Y65" i="1" s="1"/>
  <c r="Z65" i="1" s="1"/>
  <c r="X66" i="1"/>
  <c r="Y66" i="1" s="1"/>
  <c r="Z66" i="1" s="1"/>
  <c r="X67" i="1"/>
  <c r="Y67" i="1" s="1"/>
  <c r="Z67" i="1" s="1"/>
  <c r="X68" i="1"/>
  <c r="Y68" i="1" s="1"/>
  <c r="Z68" i="1" s="1"/>
  <c r="X69" i="1"/>
  <c r="Y69" i="1" s="1"/>
  <c r="Z69" i="1" s="1"/>
  <c r="X70" i="1"/>
  <c r="Y70" i="1" s="1"/>
  <c r="Z70" i="1" s="1"/>
  <c r="X71" i="1"/>
  <c r="Y71" i="1" s="1"/>
  <c r="Z71" i="1" s="1"/>
  <c r="X72" i="1"/>
  <c r="X73" i="1"/>
  <c r="Y73" i="1" s="1"/>
  <c r="Z73" i="1" s="1"/>
  <c r="X74" i="1"/>
  <c r="Y74" i="1" s="1"/>
  <c r="Z74" i="1" s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X23" i="1"/>
  <c r="Y23" i="1" s="1"/>
  <c r="Z23" i="1" s="1"/>
  <c r="BC45" i="1" l="1"/>
  <c r="P19" i="1"/>
  <c r="F19" i="1"/>
  <c r="F18" i="1"/>
  <c r="Y72" i="1"/>
  <c r="Z72" i="1" s="1"/>
  <c r="P43" i="1"/>
  <c r="AQ45" i="1"/>
  <c r="P45" i="1"/>
  <c r="Y49" i="1"/>
  <c r="Z49" i="1" s="1"/>
  <c r="Y29" i="1"/>
  <c r="Z29" i="1" s="1"/>
  <c r="P23" i="1"/>
  <c r="P71" i="1"/>
  <c r="Y56" i="1"/>
  <c r="Z56" i="1" s="1"/>
  <c r="Y61" i="1"/>
  <c r="Z61" i="1" s="1"/>
  <c r="P65" i="1"/>
  <c r="P39" i="1"/>
  <c r="P55" i="1"/>
  <c r="P58" i="1"/>
  <c r="Y54" i="1"/>
  <c r="Z54" i="1" s="1"/>
  <c r="Y30" i="1"/>
  <c r="Z30" i="1" s="1"/>
  <c r="Y53" i="1"/>
  <c r="Z53" i="1" s="1"/>
  <c r="P35" i="1"/>
  <c r="P59" i="1"/>
  <c r="AK45" i="1"/>
  <c r="AK22" i="1"/>
  <c r="Y21" i="1"/>
  <c r="Z21" i="1" s="1"/>
  <c r="P26" i="1"/>
  <c r="Y37" i="1"/>
  <c r="Z37" i="1" s="1"/>
  <c r="Y25" i="1"/>
  <c r="Z25" i="1" s="1"/>
  <c r="Y60" i="1"/>
  <c r="Z60" i="1" s="1"/>
  <c r="P62" i="1"/>
  <c r="P34" i="1"/>
  <c r="Y28" i="1"/>
  <c r="Z28" i="1" s="1"/>
  <c r="P18" i="1"/>
  <c r="Y41" i="1"/>
  <c r="Z41" i="1" s="1"/>
  <c r="P74" i="1"/>
  <c r="Y77" i="1"/>
  <c r="Z77" i="1" s="1"/>
  <c r="Q75" i="1"/>
  <c r="V16" i="1"/>
  <c r="X17" i="1"/>
  <c r="W16" i="1"/>
  <c r="N16" i="1"/>
  <c r="M2" i="4"/>
  <c r="BB16" i="1" l="1"/>
  <c r="X16" i="1"/>
  <c r="Y17" i="1"/>
  <c r="E40" i="4"/>
  <c r="E54" i="4" s="1"/>
  <c r="U32" i="1" l="1"/>
  <c r="U30" i="1"/>
  <c r="U28" i="1"/>
  <c r="U26" i="1"/>
  <c r="U24" i="1"/>
  <c r="U22" i="1"/>
  <c r="U20" i="1"/>
  <c r="U18" i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70" i="1"/>
  <c r="U62" i="1"/>
  <c r="U54" i="1"/>
  <c r="U46" i="1"/>
  <c r="U38" i="1"/>
  <c r="U68" i="1"/>
  <c r="U60" i="1"/>
  <c r="U52" i="1"/>
  <c r="U44" i="1"/>
  <c r="U36" i="1"/>
  <c r="U21" i="1"/>
  <c r="U17" i="1"/>
  <c r="U74" i="1"/>
  <c r="U66" i="1"/>
  <c r="U58" i="1"/>
  <c r="U50" i="1"/>
  <c r="U42" i="1"/>
  <c r="U34" i="1"/>
  <c r="U72" i="1"/>
  <c r="U64" i="1"/>
  <c r="U56" i="1"/>
  <c r="U48" i="1"/>
  <c r="U40" i="1"/>
  <c r="U19" i="1"/>
  <c r="U16" i="1" l="1"/>
  <c r="H57" i="4"/>
  <c r="H58" i="4"/>
  <c r="H59" i="4"/>
  <c r="H60" i="4"/>
  <c r="H61" i="4"/>
  <c r="I57" i="4" l="1"/>
  <c r="J57" i="4" s="1"/>
  <c r="I36" i="4"/>
  <c r="I61" i="4"/>
  <c r="D61" i="4"/>
  <c r="I60" i="4"/>
  <c r="D60" i="4"/>
  <c r="D59" i="4"/>
  <c r="D58" i="4"/>
  <c r="D57" i="4"/>
  <c r="H56" i="4"/>
  <c r="I56" i="4" s="1"/>
  <c r="D56" i="4"/>
  <c r="I54" i="4"/>
  <c r="J56" i="4" l="1"/>
  <c r="I59" i="4"/>
  <c r="J59" i="4" s="1"/>
  <c r="I58" i="4"/>
  <c r="J58" i="4" s="1"/>
  <c r="J61" i="4"/>
  <c r="J60" i="4"/>
  <c r="J54" i="4"/>
  <c r="H63" i="4"/>
  <c r="Y16" i="1" l="1"/>
  <c r="Z17" i="1" s="1"/>
  <c r="F75" i="1"/>
  <c r="H75" i="1"/>
  <c r="F78" i="1"/>
  <c r="F77" i="1"/>
  <c r="F79" i="1"/>
  <c r="F76" i="1"/>
  <c r="H76" i="1"/>
  <c r="J63" i="4"/>
  <c r="I63" i="4"/>
  <c r="Z78" i="1" l="1"/>
  <c r="Z18" i="1"/>
  <c r="H77" i="1"/>
  <c r="H79" i="1"/>
  <c r="H78" i="1"/>
  <c r="AJ16" i="1"/>
  <c r="E42" i="4"/>
  <c r="E56" i="4" s="1"/>
  <c r="E39" i="4"/>
  <c r="E53" i="4" s="1"/>
  <c r="AK16" i="1" l="1"/>
  <c r="F39" i="1"/>
  <c r="E47" i="4"/>
  <c r="E61" i="4" s="1"/>
  <c r="E46" i="4"/>
  <c r="E60" i="4" s="1"/>
  <c r="E45" i="4"/>
  <c r="E59" i="4" s="1"/>
  <c r="E44" i="4"/>
  <c r="E58" i="4" s="1"/>
  <c r="E57" i="4"/>
  <c r="Q39" i="1"/>
  <c r="H39" i="1" l="1"/>
  <c r="O16" i="1" l="1"/>
  <c r="H73" i="1"/>
  <c r="F74" i="1"/>
  <c r="F37" i="1"/>
  <c r="F73" i="1"/>
  <c r="H74" i="1"/>
  <c r="H37" i="1"/>
  <c r="J13" i="1"/>
  <c r="F22" i="1" l="1"/>
  <c r="F28" i="1"/>
  <c r="F30" i="1"/>
  <c r="F53" i="1"/>
  <c r="F20" i="1"/>
  <c r="F26" i="1"/>
  <c r="F32" i="1"/>
  <c r="Q38" i="1"/>
  <c r="H49" i="4"/>
  <c r="Q59" i="1"/>
  <c r="Q63" i="1"/>
  <c r="Q58" i="1"/>
  <c r="Q46" i="1"/>
  <c r="F43" i="1"/>
  <c r="Q49" i="1"/>
  <c r="Q56" i="1"/>
  <c r="Q60" i="1"/>
  <c r="Q43" i="1"/>
  <c r="Q37" i="1"/>
  <c r="Q42" i="1"/>
  <c r="BC16" i="1"/>
  <c r="Q25" i="1"/>
  <c r="Q36" i="1"/>
  <c r="BD47" i="1" l="1"/>
  <c r="BD45" i="1"/>
  <c r="H31" i="1"/>
  <c r="H23" i="1"/>
  <c r="H69" i="1"/>
  <c r="H48" i="1"/>
  <c r="H25" i="1"/>
  <c r="H63" i="1"/>
  <c r="H52" i="1"/>
  <c r="H44" i="1"/>
  <c r="H42" i="1"/>
  <c r="H49" i="1"/>
  <c r="H36" i="1"/>
  <c r="H55" i="1"/>
  <c r="H51" i="1"/>
  <c r="H38" i="1"/>
  <c r="F61" i="1"/>
  <c r="H61" i="1"/>
  <c r="F21" i="1"/>
  <c r="F33" i="1"/>
  <c r="F29" i="1"/>
  <c r="H59" i="1"/>
  <c r="F41" i="1"/>
  <c r="F59" i="1"/>
  <c r="F57" i="1"/>
  <c r="F56" i="1"/>
  <c r="F27" i="1"/>
  <c r="F62" i="1"/>
  <c r="F31" i="1"/>
  <c r="F25" i="1"/>
  <c r="F50" i="1"/>
  <c r="F34" i="1"/>
  <c r="F23" i="1"/>
  <c r="F69" i="1"/>
  <c r="F71" i="1"/>
  <c r="F49" i="1"/>
  <c r="F60" i="1"/>
  <c r="F67" i="1"/>
  <c r="F51" i="1"/>
  <c r="F63" i="1"/>
  <c r="F64" i="1"/>
  <c r="F68" i="1"/>
  <c r="F52" i="1"/>
  <c r="F70" i="1"/>
  <c r="F48" i="1"/>
  <c r="F35" i="1"/>
  <c r="F44" i="1"/>
  <c r="F42" i="1"/>
  <c r="F46" i="1"/>
  <c r="F47" i="1"/>
  <c r="F38" i="1"/>
  <c r="F40" i="1"/>
  <c r="F54" i="1"/>
  <c r="F36" i="1"/>
  <c r="F55" i="1"/>
  <c r="F65" i="1"/>
  <c r="H66" i="1"/>
  <c r="F66" i="1"/>
  <c r="F72" i="1"/>
  <c r="F58" i="1"/>
  <c r="BH16" i="1"/>
  <c r="P16" i="1"/>
  <c r="Q50" i="1" s="1"/>
  <c r="H40" i="1"/>
  <c r="H56" i="1"/>
  <c r="H34" i="1"/>
  <c r="H30" i="1"/>
  <c r="H27" i="1"/>
  <c r="H22" i="1"/>
  <c r="H24" i="1"/>
  <c r="H35" i="1"/>
  <c r="H26" i="1"/>
  <c r="H47" i="1"/>
  <c r="H32" i="1"/>
  <c r="H28" i="1"/>
  <c r="H53" i="1"/>
  <c r="H67" i="1"/>
  <c r="Q20" i="1"/>
  <c r="H20" i="1"/>
  <c r="H43" i="1"/>
  <c r="H71" i="1"/>
  <c r="Q40" i="1"/>
  <c r="Q61" i="1"/>
  <c r="Q57" i="1"/>
  <c r="Q51" i="1" l="1"/>
  <c r="H64" i="1"/>
  <c r="H29" i="1"/>
  <c r="H62" i="1"/>
  <c r="H57" i="1"/>
  <c r="H54" i="1"/>
  <c r="H72" i="1"/>
  <c r="H21" i="1"/>
  <c r="H33" i="1"/>
  <c r="H60" i="1"/>
  <c r="H18" i="1"/>
  <c r="H46" i="1"/>
  <c r="H41" i="1"/>
  <c r="H19" i="1"/>
  <c r="H58" i="1"/>
  <c r="H65" i="1"/>
  <c r="Q78" i="1"/>
  <c r="Q76" i="1"/>
  <c r="Q53" i="1"/>
  <c r="Q77" i="1"/>
  <c r="Q79" i="1"/>
  <c r="BI16" i="1"/>
  <c r="BJ45" i="1" s="1"/>
  <c r="Q66" i="1"/>
  <c r="Q55" i="1"/>
  <c r="Q30" i="1"/>
  <c r="H70" i="1"/>
  <c r="H50" i="1"/>
  <c r="H68" i="1"/>
  <c r="Q71" i="1"/>
  <c r="Q70" i="1"/>
  <c r="Q74" i="1"/>
  <c r="Q45" i="1"/>
  <c r="Q41" i="1"/>
  <c r="Q26" i="1"/>
  <c r="Q65" i="1"/>
  <c r="Q48" i="1"/>
  <c r="Q33" i="1"/>
  <c r="Q67" i="1"/>
  <c r="Q32" i="1"/>
  <c r="Q69" i="1"/>
  <c r="Q73" i="1"/>
  <c r="Q34" i="1"/>
  <c r="Q35" i="1"/>
  <c r="Q31" i="1"/>
  <c r="Q54" i="1"/>
  <c r="Q52" i="1"/>
  <c r="Q64" i="1"/>
  <c r="Q22" i="1"/>
  <c r="Q21" i="1"/>
  <c r="Q18" i="1"/>
  <c r="Q29" i="1"/>
  <c r="Q68" i="1"/>
  <c r="Q28" i="1"/>
  <c r="Q62" i="1"/>
  <c r="Q72" i="1"/>
  <c r="Q27" i="1"/>
  <c r="Q23" i="1"/>
  <c r="Q24" i="1"/>
  <c r="Q19" i="1"/>
  <c r="Q44" i="1"/>
  <c r="Q47" i="1"/>
  <c r="BD16" i="1" l="1"/>
  <c r="Z16" i="1"/>
  <c r="Q16" i="1"/>
  <c r="I76" i="1" l="1"/>
  <c r="I77" i="1"/>
  <c r="I75" i="1"/>
  <c r="I79" i="1"/>
  <c r="I74" i="1"/>
  <c r="I73" i="1"/>
  <c r="I57" i="1"/>
  <c r="I62" i="1"/>
  <c r="I60" i="1"/>
  <c r="I52" i="1"/>
  <c r="I51" i="1"/>
  <c r="I63" i="1"/>
  <c r="I61" i="1"/>
  <c r="I54" i="1"/>
  <c r="I53" i="1"/>
  <c r="I64" i="1"/>
  <c r="I56" i="1"/>
  <c r="I66" i="1"/>
  <c r="I71" i="1"/>
  <c r="I46" i="1"/>
  <c r="H105" i="4" s="1"/>
  <c r="I43" i="1"/>
  <c r="H102" i="4" s="1"/>
  <c r="I44" i="1"/>
  <c r="H103" i="4" s="1"/>
  <c r="I55" i="1"/>
  <c r="I72" i="1"/>
  <c r="I67" i="1"/>
  <c r="I48" i="1"/>
  <c r="I69" i="1"/>
  <c r="I59" i="1"/>
  <c r="I50" i="1"/>
  <c r="I65" i="1"/>
  <c r="I58" i="1"/>
  <c r="I68" i="1"/>
  <c r="I39" i="1"/>
  <c r="I37" i="1"/>
  <c r="I36" i="1"/>
  <c r="I22" i="1"/>
  <c r="I28" i="1"/>
  <c r="I42" i="1"/>
  <c r="I30" i="1"/>
  <c r="I26" i="1"/>
  <c r="I27" i="1"/>
  <c r="I38" i="1"/>
  <c r="I25" i="1"/>
  <c r="I33" i="1"/>
  <c r="I40" i="1"/>
  <c r="I31" i="1"/>
  <c r="I35" i="1"/>
  <c r="I19" i="1"/>
  <c r="I23" i="1"/>
  <c r="I21" i="1"/>
  <c r="I34" i="1"/>
  <c r="I29" i="1"/>
  <c r="I32" i="1"/>
  <c r="I20" i="1"/>
  <c r="I24" i="1"/>
  <c r="I70" i="1"/>
  <c r="I41" i="1"/>
  <c r="I47" i="1"/>
  <c r="I49" i="1"/>
  <c r="I18" i="1"/>
  <c r="I78" i="1"/>
  <c r="BJ16" i="1"/>
  <c r="E13" i="1" l="1"/>
  <c r="F24" i="1" l="1"/>
  <c r="D49" i="4"/>
  <c r="AL22" i="1" l="1"/>
  <c r="AF45" i="1"/>
  <c r="G27" i="1" l="1"/>
  <c r="A27" i="1" s="1"/>
  <c r="G42" i="1"/>
  <c r="A42" i="1" s="1"/>
  <c r="G54" i="1"/>
  <c r="A54" i="1" s="1"/>
  <c r="G25" i="1"/>
  <c r="A25" i="1" s="1"/>
  <c r="G75" i="1"/>
  <c r="A75" i="1" s="1"/>
  <c r="G73" i="1"/>
  <c r="A73" i="1" s="1"/>
  <c r="G59" i="1"/>
  <c r="A59" i="1" s="1"/>
  <c r="G69" i="1"/>
  <c r="A69" i="1" s="1"/>
  <c r="G40" i="1"/>
  <c r="A40" i="1" s="1"/>
  <c r="G33" i="1"/>
  <c r="A33" i="1" s="1"/>
  <c r="G21" i="1"/>
  <c r="A21" i="1" s="1"/>
  <c r="G41" i="1"/>
  <c r="A41" i="1" s="1"/>
  <c r="G49" i="1"/>
  <c r="A49" i="1" s="1"/>
  <c r="G28" i="1"/>
  <c r="A28" i="1" s="1"/>
  <c r="G20" i="1"/>
  <c r="A20" i="1" s="1"/>
  <c r="G70" i="1"/>
  <c r="A70" i="1" s="1"/>
  <c r="G36" i="1"/>
  <c r="A36" i="1" s="1"/>
  <c r="G60" i="1"/>
  <c r="A60" i="1" s="1"/>
  <c r="G48" i="1"/>
  <c r="A48" i="1" s="1"/>
  <c r="G76" i="1"/>
  <c r="A76" i="1" s="1"/>
  <c r="G43" i="1"/>
  <c r="A43" i="1" s="1"/>
  <c r="G38" i="1"/>
  <c r="A38" i="1" s="1"/>
  <c r="G66" i="1"/>
  <c r="A66" i="1" s="1"/>
  <c r="G37" i="1"/>
  <c r="A37" i="1" s="1"/>
  <c r="G29" i="1"/>
  <c r="A29" i="1" s="1"/>
  <c r="G19" i="1"/>
  <c r="A19" i="1" s="1"/>
  <c r="G63" i="1"/>
  <c r="A63" i="1" s="1"/>
  <c r="G68" i="1"/>
  <c r="A68" i="1" s="1"/>
  <c r="G55" i="1"/>
  <c r="A55" i="1" s="1"/>
  <c r="G79" i="1"/>
  <c r="A79" i="1" s="1"/>
  <c r="G64" i="1"/>
  <c r="A64" i="1" s="1"/>
  <c r="G53" i="1"/>
  <c r="A53" i="1" s="1"/>
  <c r="G62" i="1"/>
  <c r="A62" i="1" s="1"/>
  <c r="G58" i="1"/>
  <c r="A58" i="1" s="1"/>
  <c r="G39" i="1"/>
  <c r="A39" i="1" s="1"/>
  <c r="G32" i="1"/>
  <c r="A32" i="1" s="1"/>
  <c r="G35" i="1"/>
  <c r="A35" i="1" s="1"/>
  <c r="G47" i="1"/>
  <c r="A47" i="1" s="1"/>
  <c r="G34" i="1"/>
  <c r="A34" i="1" s="1"/>
  <c r="G52" i="1"/>
  <c r="A52" i="1" s="1"/>
  <c r="G56" i="1"/>
  <c r="A56" i="1" s="1"/>
  <c r="G77" i="1"/>
  <c r="A77" i="1" s="1"/>
  <c r="G74" i="1"/>
  <c r="A74" i="1" s="1"/>
  <c r="G57" i="1"/>
  <c r="A57" i="1" s="1"/>
  <c r="G61" i="1"/>
  <c r="A61" i="1" s="1"/>
  <c r="G44" i="1"/>
  <c r="A44" i="1" s="1"/>
  <c r="G31" i="1"/>
  <c r="A31" i="1" s="1"/>
  <c r="G24" i="1"/>
  <c r="A24" i="1" s="1"/>
  <c r="G65" i="1"/>
  <c r="A65" i="1" s="1"/>
  <c r="G50" i="1"/>
  <c r="A50" i="1" s="1"/>
  <c r="G72" i="1"/>
  <c r="A72" i="1" s="1"/>
  <c r="G67" i="1"/>
  <c r="A67" i="1" s="1"/>
  <c r="G30" i="1"/>
  <c r="A30" i="1" s="1"/>
  <c r="G22" i="1"/>
  <c r="A22" i="1" s="1"/>
  <c r="G71" i="1"/>
  <c r="A71" i="1" s="1"/>
  <c r="G23" i="1"/>
  <c r="A23" i="1" s="1"/>
  <c r="G26" i="1"/>
  <c r="A26" i="1" s="1"/>
  <c r="G51" i="1"/>
  <c r="A51" i="1" s="1"/>
  <c r="G46" i="1"/>
  <c r="A46" i="1" s="1"/>
  <c r="G78" i="1"/>
  <c r="A78" i="1" s="1"/>
  <c r="G18" i="1"/>
  <c r="A18" i="1" s="1"/>
  <c r="AO17" i="1"/>
  <c r="AQ17" i="1"/>
  <c r="AQ16" i="1" l="1"/>
  <c r="AP16" i="1"/>
  <c r="AR22" i="1" l="1"/>
  <c r="AR45" i="1"/>
  <c r="AR17" i="1"/>
  <c r="AR16" i="1" l="1"/>
  <c r="AU45" i="1"/>
  <c r="AV45" i="1"/>
  <c r="AV16" i="1" s="1"/>
  <c r="AW45" i="1" l="1"/>
  <c r="H45" i="1" s="1"/>
  <c r="I45" i="1" s="1"/>
  <c r="H104" i="4" s="1"/>
  <c r="F45" i="1"/>
  <c r="G45" i="1" s="1"/>
  <c r="A45" i="1" s="1"/>
  <c r="AW16" i="1" l="1"/>
  <c r="AX45" i="1" s="1"/>
  <c r="AX22" i="1"/>
  <c r="AX16" i="1" l="1"/>
  <c r="AE17" i="1"/>
  <c r="AE16" i="1" l="1"/>
  <c r="AL45" i="1" s="1"/>
  <c r="AL16" i="1" s="1"/>
  <c r="F17" i="1"/>
  <c r="G17" i="1" s="1"/>
  <c r="G16" i="1" s="1"/>
  <c r="AF17" i="1"/>
  <c r="H17" i="1" s="1"/>
  <c r="AF16" i="1"/>
  <c r="A17" i="1" l="1"/>
  <c r="F16" i="1"/>
  <c r="I17" i="1"/>
  <c r="I16" i="1" s="1"/>
  <c r="H16" i="1"/>
  <c r="T72" i="1"/>
  <c r="T38" i="1"/>
  <c r="T44" i="1"/>
  <c r="T18" i="1"/>
  <c r="T29" i="1"/>
  <c r="T61" i="1"/>
  <c r="T50" i="1"/>
  <c r="T25" i="1"/>
  <c r="T26" i="1"/>
  <c r="T52" i="1"/>
  <c r="T43" i="1"/>
  <c r="T59" i="1"/>
  <c r="T31" i="1"/>
  <c r="T22" i="1"/>
  <c r="T49" i="1"/>
  <c r="T77" i="1"/>
  <c r="T45" i="1"/>
  <c r="T73" i="1"/>
  <c r="T71" i="1"/>
  <c r="T57" i="1"/>
  <c r="T24" i="1"/>
  <c r="T58" i="1"/>
  <c r="T27" i="1"/>
  <c r="T35" i="1"/>
  <c r="T74" i="1"/>
  <c r="T70" i="1"/>
  <c r="T40" i="1"/>
  <c r="T69" i="1"/>
  <c r="T36" i="1"/>
  <c r="T68" i="1"/>
  <c r="T55" i="1"/>
  <c r="T37" i="1"/>
  <c r="T48" i="1"/>
  <c r="T63" i="1"/>
  <c r="T30" i="1"/>
  <c r="T16" i="1"/>
  <c r="T17" i="1"/>
  <c r="T54" i="1"/>
  <c r="T64" i="1"/>
  <c r="T42" i="1"/>
  <c r="T60" i="1"/>
  <c r="T56" i="1"/>
  <c r="T76" i="1"/>
  <c r="T62" i="1"/>
  <c r="T41" i="1"/>
  <c r="T53" i="1"/>
  <c r="T20" i="1"/>
  <c r="T78" i="1"/>
  <c r="T67" i="1"/>
  <c r="T65" i="1"/>
  <c r="T75" i="1"/>
  <c r="T79" i="1"/>
  <c r="T23" i="1"/>
  <c r="T66" i="1"/>
  <c r="T39" i="1"/>
  <c r="T34" i="1"/>
  <c r="T32" i="1"/>
  <c r="T46" i="1"/>
  <c r="T47" i="1"/>
  <c r="T33" i="1"/>
  <c r="T51" i="1"/>
  <c r="T19" i="1"/>
  <c r="T28" i="1"/>
  <c r="T21" i="1"/>
</calcChain>
</file>

<file path=xl/comments1.xml><?xml version="1.0" encoding="utf-8"?>
<comments xmlns="http://schemas.openxmlformats.org/spreadsheetml/2006/main">
  <authors>
    <author>gaic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MOHA 60%
T ALEXANDRIE 40%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SEIGLE 70%
TREFLE INCARNAT 30%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AVOINE 60%
VESCE 40%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MOUTARDE 70 %
PHACELIE 30 % </t>
        </r>
      </text>
    </comment>
    <comment ref="I2" authorId="0">
      <text>
        <r>
          <rPr>
            <sz val="9"/>
            <color indexed="81"/>
            <rFont val="Tahoma"/>
            <family val="2"/>
          </rPr>
          <t>70 % FENUGREC
30 % RADIS CHINOIS</t>
        </r>
      </text>
    </comment>
  </commentList>
</comments>
</file>

<file path=xl/sharedStrings.xml><?xml version="1.0" encoding="utf-8"?>
<sst xmlns="http://schemas.openxmlformats.org/spreadsheetml/2006/main" count="215" uniqueCount="139">
  <si>
    <t xml:space="preserve">MELANGE PROTA + FIRST   </t>
  </si>
  <si>
    <t xml:space="preserve">MELANGE ST MARCELIN </t>
  </si>
  <si>
    <t>MELANGE FOIN DAUPHINE SAVOY</t>
  </si>
  <si>
    <t xml:space="preserve">MELANGE ZONES HUMIDES </t>
  </si>
  <si>
    <t>MELANGE ZONES SECHES</t>
  </si>
  <si>
    <t>MS FAMOSA 44 P</t>
  </si>
  <si>
    <t>MS FAMOSA 45</t>
  </si>
  <si>
    <t>RGI A 2N</t>
  </si>
  <si>
    <t>RGI A 4N</t>
  </si>
  <si>
    <t>RGI NA 2N</t>
  </si>
  <si>
    <t>RGI NA 4N</t>
  </si>
  <si>
    <t>PMG</t>
  </si>
  <si>
    <t>Espèces Fourragères</t>
  </si>
  <si>
    <t>Fétuque Elevée</t>
  </si>
  <si>
    <t>Dactyle</t>
  </si>
  <si>
    <t>RGA 2n</t>
  </si>
  <si>
    <t>RGA 4n</t>
  </si>
  <si>
    <t>RGH 2n</t>
  </si>
  <si>
    <t>RGH 4n</t>
  </si>
  <si>
    <t>Festulolium</t>
  </si>
  <si>
    <t>Fétuque des prés</t>
  </si>
  <si>
    <t>Fléole des prés</t>
  </si>
  <si>
    <t>Pâturin des prés</t>
  </si>
  <si>
    <t>Luzerne</t>
  </si>
  <si>
    <t>Trèfle squarosum</t>
  </si>
  <si>
    <t>Trèfle vésiculum</t>
  </si>
  <si>
    <t>Minette</t>
  </si>
  <si>
    <t>Melilot</t>
  </si>
  <si>
    <t>Sainfoin (cosse)</t>
  </si>
  <si>
    <t>Cretelle des prés</t>
  </si>
  <si>
    <t>Fétuque rouge</t>
  </si>
  <si>
    <t>Lotier</t>
  </si>
  <si>
    <t>Sainfoin decortiqué</t>
  </si>
  <si>
    <t>Trèfle d'alexandrie</t>
  </si>
  <si>
    <t>Trèfle blanc ladino</t>
  </si>
  <si>
    <t>Trèfle blanc nain</t>
  </si>
  <si>
    <t>Trèfle incarnat</t>
  </si>
  <si>
    <t>Trèfle violet 2n</t>
  </si>
  <si>
    <t>Trèfle violet 4n</t>
  </si>
  <si>
    <t>Moha</t>
  </si>
  <si>
    <t>Avoine rude</t>
  </si>
  <si>
    <t>Phacélie</t>
  </si>
  <si>
    <t>Sarrasin</t>
  </si>
  <si>
    <t>Radis fourrager</t>
  </si>
  <si>
    <t>Vesce commune</t>
  </si>
  <si>
    <t>Trèfle hybride</t>
  </si>
  <si>
    <t>Trèfle de micheli</t>
  </si>
  <si>
    <t>Trèfle de perse</t>
  </si>
  <si>
    <t>Trèfle blanc géant</t>
  </si>
  <si>
    <t>Mais</t>
  </si>
  <si>
    <t>Moutarde blanche</t>
  </si>
  <si>
    <t>Navette Fourragére</t>
  </si>
  <si>
    <t>Colza fourrager</t>
  </si>
  <si>
    <t>Cameline</t>
  </si>
  <si>
    <t>Tournesol</t>
  </si>
  <si>
    <t>Nyger</t>
  </si>
  <si>
    <t>Sorgho fourrager</t>
  </si>
  <si>
    <t>KG / HA</t>
  </si>
  <si>
    <t>NBRE DE GRAINES TOTALE</t>
  </si>
  <si>
    <t>% DE GRAINES</t>
  </si>
  <si>
    <t>Nbre de graines / gramme</t>
  </si>
  <si>
    <t>Lin</t>
  </si>
  <si>
    <t>Feverolle</t>
  </si>
  <si>
    <t>Quantité par éspeces en KG/ha</t>
  </si>
  <si>
    <t>% du mélange en poids</t>
  </si>
  <si>
    <t>Pois fourrager de printemps</t>
  </si>
  <si>
    <t>Pois fourrager d'hiver</t>
  </si>
  <si>
    <t xml:space="preserve">Composition n°= </t>
  </si>
  <si>
    <t>Radis chinois</t>
  </si>
  <si>
    <t>Fenugrec</t>
  </si>
  <si>
    <t>ou / et</t>
  </si>
  <si>
    <t>TOTAL</t>
  </si>
  <si>
    <t>MEL N°=4  MOUTARDE PHACELIE</t>
  </si>
  <si>
    <t>MEL N°=2  SEIGLE T INCARNAT</t>
  </si>
  <si>
    <t>MEL N°=1  MOHA T ALEX</t>
  </si>
  <si>
    <t>MS ALFA 32</t>
  </si>
  <si>
    <t>MEL N°5 FENUGREC RADIS CHI</t>
  </si>
  <si>
    <t>Espèces 1 numéro :</t>
  </si>
  <si>
    <t>Espèces 2 numéro :</t>
  </si>
  <si>
    <t>Espèces 3 numéro :</t>
  </si>
  <si>
    <t xml:space="preserve"> Espèces 4 numéro :</t>
  </si>
  <si>
    <t xml:space="preserve"> Espèces 5 numéro :</t>
  </si>
  <si>
    <t xml:space="preserve"> Espèces 6 numéro :</t>
  </si>
  <si>
    <t>% du mélange en graines</t>
  </si>
  <si>
    <t>poids en graines</t>
  </si>
  <si>
    <t>MS FAMOSA 40</t>
  </si>
  <si>
    <t>MS JURA 47</t>
  </si>
  <si>
    <t>MS MEDIA 20</t>
  </si>
  <si>
    <t>MS TARDA 33</t>
  </si>
  <si>
    <t>Poids  par éspeces en KG/ha</t>
  </si>
  <si>
    <t>Plantain</t>
  </si>
  <si>
    <t>Chicorée</t>
  </si>
  <si>
    <t>Mon mélange contient</t>
  </si>
  <si>
    <t>% de légumineuses en graines</t>
  </si>
  <si>
    <t>Coût / Ha</t>
  </si>
  <si>
    <t xml:space="preserve">Kg /Ha </t>
  </si>
  <si>
    <t xml:space="preserve">Commentaire : </t>
  </si>
  <si>
    <t xml:space="preserve">Surface concerné : </t>
  </si>
  <si>
    <t>Ha</t>
  </si>
  <si>
    <t xml:space="preserve">Coût total </t>
  </si>
  <si>
    <t>EXPLOITATION :</t>
  </si>
  <si>
    <t>DEVIS FOURRAGERES</t>
  </si>
  <si>
    <t>Mon mélange contient:</t>
  </si>
  <si>
    <t>FEUILLE DE CALCUL</t>
  </si>
  <si>
    <t>Coût /T</t>
  </si>
  <si>
    <t>% de graines</t>
  </si>
  <si>
    <t>CALCULER LES POURCENTAGES D'ESPECES DANS UNE COMPOSITION ?</t>
  </si>
  <si>
    <t xml:space="preserve">Composition 1 n°= </t>
  </si>
  <si>
    <t xml:space="preserve">Composition 2 n°= </t>
  </si>
  <si>
    <t>composition 1</t>
  </si>
  <si>
    <t>composition 2</t>
  </si>
  <si>
    <r>
      <t xml:space="preserve">1) je choisis  mon numéro de composition et ma quantité HA que j'inscris </t>
    </r>
    <r>
      <rPr>
        <b/>
        <u/>
        <sz val="10"/>
        <color theme="1"/>
        <rFont val="Calibri"/>
        <family val="2"/>
        <scheme val="minor"/>
      </rPr>
      <t xml:space="preserve">exclusivement dans les </t>
    </r>
    <r>
      <rPr>
        <b/>
        <u/>
        <sz val="10"/>
        <color theme="4"/>
        <rFont val="Calibri"/>
        <family val="2"/>
        <scheme val="minor"/>
      </rPr>
      <t>cases bleues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2) je choisis de 1 à 6 espèces (en vert) et ma quantité HA que je souhaite associer, je les inscris </t>
    </r>
    <r>
      <rPr>
        <b/>
        <u/>
        <sz val="10"/>
        <color theme="1"/>
        <rFont val="Calibri"/>
        <family val="2"/>
        <scheme val="minor"/>
      </rPr>
      <t xml:space="preserve">exclusivement dans </t>
    </r>
    <r>
      <rPr>
        <b/>
        <u/>
        <sz val="10"/>
        <color rgb="FF66FF66"/>
        <rFont val="Calibri"/>
        <family val="2"/>
        <scheme val="minor"/>
      </rPr>
      <t>les cases vertes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</t>
    </r>
    <r>
      <rPr>
        <sz val="10"/>
        <color rgb="FF00B050"/>
        <rFont val="Calibri"/>
        <family val="2"/>
        <scheme val="minor"/>
      </rPr>
      <t xml:space="preserve">Une fois inscrit, (sous le numéro des espéces) je retrouve mon taux de légumineuses dans mes mélanges. </t>
    </r>
    <r>
      <rPr>
        <sz val="10"/>
        <color rgb="FFFF0000"/>
        <rFont val="Calibri"/>
        <family val="2"/>
        <scheme val="minor"/>
      </rPr>
      <t>Pour etablir le devis, je note mon tarif par composition ou espéce à la tonne, et la surface à réaliser.</t>
    </r>
  </si>
  <si>
    <t>PROTEINE HERBE</t>
  </si>
  <si>
    <t>MELANGE GRINGO</t>
  </si>
  <si>
    <t>MELANGE PROTA PLUS 3 MIXTE</t>
  </si>
  <si>
    <t>MELANGE SATANAS</t>
  </si>
  <si>
    <t>MELANGE EQUIN</t>
  </si>
  <si>
    <t>MEL PHACELIE RADIS CHINOIS</t>
  </si>
  <si>
    <t>Vesce velue</t>
  </si>
  <si>
    <t>Seigle fourrager</t>
  </si>
  <si>
    <t>Seigle forestier</t>
  </si>
  <si>
    <t>Tréfle fléche</t>
  </si>
  <si>
    <t>Gesse</t>
  </si>
  <si>
    <t>Lentille noire</t>
  </si>
  <si>
    <t>Avoine noire</t>
  </si>
  <si>
    <t>MEL N°=3  AVOINE VESCE DE P</t>
  </si>
  <si>
    <t>MEL N = 31 AVOINE VESCE VELUE</t>
  </si>
  <si>
    <t>kg en graines</t>
  </si>
  <si>
    <t>GRAMME/GRAINE</t>
  </si>
  <si>
    <t>gramme/graine</t>
  </si>
  <si>
    <t>Quantité graines par éspeces en KG/ha</t>
  </si>
  <si>
    <t>graine / gramme</t>
  </si>
  <si>
    <t>poids / graine</t>
  </si>
  <si>
    <t>espèce 2</t>
  </si>
  <si>
    <t>espèce 3</t>
  </si>
  <si>
    <t>espèce 1</t>
  </si>
  <si>
    <t>espèce 4</t>
  </si>
  <si>
    <t>espèce 5</t>
  </si>
  <si>
    <t>espèce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</si>
</sst>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0.00000"/>
    <numFmt numFmtId="166" formatCode="_-* #,##0.00000\ _€_-;\-* #,##0.00000\ _€_-;_-* &quot;-&quot;??\ _€_-;_-@_-"/>
    <numFmt numFmtId="167" formatCode="0.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7"/>
      <name val="Arial"/>
      <family val="2"/>
    </font>
    <font>
      <b/>
      <u/>
      <sz val="11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mbria"/>
      <family val="1"/>
      <scheme val="major"/>
    </font>
    <font>
      <b/>
      <u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u/>
      <sz val="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4"/>
      <name val="Calibri"/>
      <family val="2"/>
      <scheme val="minor"/>
    </font>
    <font>
      <b/>
      <u/>
      <sz val="10"/>
      <color rgb="FF66FF66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rgb="FF1F497D"/>
      <name val="Berlin Sans FB"/>
      <family val="2"/>
    </font>
    <font>
      <b/>
      <sz val="6"/>
      <name val="Arial"/>
      <family val="2"/>
    </font>
    <font>
      <b/>
      <sz val="7"/>
      <color theme="1"/>
      <name val="Arial"/>
      <family val="2"/>
    </font>
    <font>
      <sz val="8"/>
      <color theme="1"/>
      <name val="Cambria"/>
      <family val="1"/>
      <scheme val="major"/>
    </font>
    <font>
      <sz val="12"/>
      <color rgb="FF30303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textRotation="255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2" fontId="0" fillId="0" borderId="0" xfId="0" applyNumberFormat="1" applyFill="1" applyBorder="1" applyProtection="1"/>
    <xf numFmtId="2" fontId="8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0" xfId="0" applyNumberFormat="1" applyProtection="1"/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2" fontId="9" fillId="0" borderId="0" xfId="0" applyNumberFormat="1" applyFont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2" fontId="0" fillId="0" borderId="0" xfId="0" applyNumberFormat="1" applyFont="1" applyBorder="1" applyAlignment="1" applyProtection="1">
      <alignment vertical="center"/>
    </xf>
    <xf numFmtId="2" fontId="0" fillId="0" borderId="0" xfId="0" applyNumberFormat="1" applyBorder="1" applyProtection="1"/>
    <xf numFmtId="2" fontId="1" fillId="7" borderId="10" xfId="0" applyNumberFormat="1" applyFont="1" applyFill="1" applyBorder="1" applyAlignment="1" applyProtection="1">
      <alignment horizontal="center" vertical="center" wrapText="1"/>
    </xf>
    <xf numFmtId="2" fontId="0" fillId="7" borderId="10" xfId="0" applyNumberFormat="1" applyFill="1" applyBorder="1" applyAlignment="1" applyProtection="1">
      <alignment horizontal="center" vertical="center" wrapText="1"/>
    </xf>
    <xf numFmtId="2" fontId="0" fillId="7" borderId="11" xfId="0" applyNumberForma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 wrapText="1"/>
    </xf>
    <xf numFmtId="2" fontId="1" fillId="4" borderId="10" xfId="0" applyNumberFormat="1" applyFont="1" applyFill="1" applyBorder="1" applyAlignment="1" applyProtection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10" fontId="0" fillId="0" borderId="8" xfId="0" applyNumberFormat="1" applyFill="1" applyBorder="1" applyAlignment="1" applyProtection="1">
      <alignment horizontal="center" vertical="center" wrapText="1"/>
    </xf>
    <xf numFmtId="2" fontId="0" fillId="0" borderId="8" xfId="0" applyNumberForma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2" fontId="1" fillId="0" borderId="12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1" fontId="0" fillId="7" borderId="0" xfId="0" applyNumberFormat="1" applyFill="1" applyProtection="1"/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10" fontId="1" fillId="0" borderId="24" xfId="0" applyNumberFormat="1" applyFont="1" applyFill="1" applyBorder="1" applyAlignment="1" applyProtection="1">
      <alignment horizontal="center" vertical="center" wrapText="1"/>
    </xf>
    <xf numFmtId="2" fontId="1" fillId="2" borderId="10" xfId="0" applyNumberFormat="1" applyFont="1" applyFill="1" applyBorder="1" applyAlignment="1" applyProtection="1">
      <alignment horizontal="center" vertical="center" wrapText="1"/>
    </xf>
    <xf numFmtId="10" fontId="1" fillId="0" borderId="11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44" fontId="0" fillId="0" borderId="0" xfId="1" applyFont="1" applyProtection="1"/>
    <xf numFmtId="2" fontId="16" fillId="0" borderId="0" xfId="0" applyNumberFormat="1" applyFont="1" applyProtection="1"/>
    <xf numFmtId="0" fontId="16" fillId="0" borderId="0" xfId="0" applyFont="1" applyProtection="1"/>
    <xf numFmtId="2" fontId="16" fillId="0" borderId="0" xfId="0" applyNumberFormat="1" applyFont="1" applyAlignment="1" applyProtection="1">
      <alignment horizontal="left" vertical="top"/>
    </xf>
    <xf numFmtId="2" fontId="16" fillId="0" borderId="0" xfId="0" applyNumberFormat="1" applyFont="1" applyAlignment="1" applyProtection="1">
      <alignment horizontal="center"/>
    </xf>
    <xf numFmtId="1" fontId="19" fillId="5" borderId="1" xfId="0" applyNumberFormat="1" applyFont="1" applyFill="1" applyBorder="1" applyAlignment="1" applyProtection="1">
      <alignment horizontal="center" vertical="center"/>
    </xf>
    <xf numFmtId="2" fontId="16" fillId="0" borderId="0" xfId="0" applyNumberFormat="1" applyFont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vertical="center"/>
    </xf>
    <xf numFmtId="2" fontId="16" fillId="0" borderId="0" xfId="0" applyNumberFormat="1" applyFont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</xf>
    <xf numFmtId="2" fontId="16" fillId="0" borderId="0" xfId="0" applyNumberFormat="1" applyFont="1" applyFill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center" vertical="center"/>
    </xf>
    <xf numFmtId="44" fontId="16" fillId="0" borderId="3" xfId="1" applyFont="1" applyBorder="1" applyAlignment="1" applyProtection="1">
      <alignment horizontal="center" vertical="center"/>
    </xf>
    <xf numFmtId="44" fontId="19" fillId="0" borderId="1" xfId="1" applyFont="1" applyBorder="1" applyAlignment="1" applyProtection="1">
      <alignment horizontal="center" vertical="center"/>
    </xf>
    <xf numFmtId="44" fontId="16" fillId="0" borderId="1" xfId="1" applyFont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19" fillId="7" borderId="1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2" fontId="22" fillId="0" borderId="0" xfId="0" applyNumberFormat="1" applyFont="1" applyAlignment="1" applyProtection="1">
      <alignment horizontal="center" vertical="center"/>
    </xf>
    <xf numFmtId="14" fontId="26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2" fontId="16" fillId="0" borderId="0" xfId="0" applyNumberFormat="1" applyFont="1" applyBorder="1" applyAlignment="1" applyProtection="1">
      <alignment vertical="top" wrapText="1"/>
    </xf>
    <xf numFmtId="2" fontId="22" fillId="0" borderId="0" xfId="0" applyNumberFormat="1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center" vertical="center"/>
    </xf>
    <xf numFmtId="44" fontId="16" fillId="0" borderId="0" xfId="1" applyFont="1" applyFill="1" applyAlignment="1" applyProtection="1">
      <alignment horizontal="center" vertical="center"/>
    </xf>
    <xf numFmtId="44" fontId="16" fillId="0" borderId="0" xfId="1" applyFont="1" applyAlignment="1" applyProtection="1">
      <alignment horizontal="center" vertical="center"/>
    </xf>
    <xf numFmtId="2" fontId="23" fillId="0" borderId="0" xfId="0" applyNumberFormat="1" applyFont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4" fontId="16" fillId="0" borderId="1" xfId="0" applyNumberFormat="1" applyFont="1" applyBorder="1" applyAlignment="1" applyProtection="1">
      <alignment horizontal="center" vertical="center"/>
    </xf>
    <xf numFmtId="44" fontId="16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0" fontId="0" fillId="0" borderId="0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10" fontId="15" fillId="0" borderId="8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1" fontId="16" fillId="7" borderId="1" xfId="0" applyNumberFormat="1" applyFont="1" applyFill="1" applyBorder="1" applyAlignment="1" applyProtection="1">
      <alignment horizontal="center" vertical="center"/>
      <protection locked="0"/>
    </xf>
    <xf numFmtId="2" fontId="16" fillId="7" borderId="1" xfId="0" applyNumberFormat="1" applyFont="1" applyFill="1" applyBorder="1" applyAlignment="1" applyProtection="1">
      <alignment horizontal="center" vertical="center"/>
      <protection locked="0"/>
    </xf>
    <xf numFmtId="2" fontId="32" fillId="0" borderId="0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</xf>
    <xf numFmtId="1" fontId="23" fillId="4" borderId="8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Border="1" applyAlignment="1" applyProtection="1">
      <alignment vertical="center"/>
    </xf>
    <xf numFmtId="44" fontId="16" fillId="4" borderId="1" xfId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2" fontId="19" fillId="0" borderId="0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2" fontId="22" fillId="0" borderId="0" xfId="0" applyNumberFormat="1" applyFont="1" applyAlignment="1" applyProtection="1">
      <alignment horizontal="center" vertical="center"/>
    </xf>
    <xf numFmtId="2" fontId="22" fillId="0" borderId="26" xfId="0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textRotation="255"/>
    </xf>
    <xf numFmtId="0" fontId="0" fillId="0" borderId="0" xfId="0" applyAlignment="1">
      <alignment horizontal="center" textRotation="255"/>
    </xf>
    <xf numFmtId="0" fontId="0" fillId="0" borderId="0" xfId="0" applyFill="1" applyAlignment="1">
      <alignment horizontal="center" textRotation="255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textRotation="255"/>
    </xf>
    <xf numFmtId="0" fontId="10" fillId="0" borderId="34" xfId="0" applyNumberFormat="1" applyFont="1" applyFill="1" applyBorder="1" applyAlignment="1" applyProtection="1">
      <alignment horizontal="center" textRotation="255" wrapText="1"/>
    </xf>
    <xf numFmtId="0" fontId="36" fillId="0" borderId="34" xfId="0" applyFont="1" applyFill="1" applyBorder="1" applyAlignment="1">
      <alignment horizontal="center" textRotation="255"/>
    </xf>
    <xf numFmtId="0" fontId="1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0" fillId="0" borderId="35" xfId="0" applyFont="1" applyFill="1" applyBorder="1" applyAlignment="1">
      <alignment horizontal="center" textRotation="255"/>
    </xf>
    <xf numFmtId="0" fontId="10" fillId="0" borderId="15" xfId="0" applyFont="1" applyFill="1" applyBorder="1" applyAlignment="1">
      <alignment horizontal="center" textRotation="255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textRotation="255"/>
    </xf>
    <xf numFmtId="2" fontId="1" fillId="0" borderId="1" xfId="0" applyNumberFormat="1" applyFont="1" applyFill="1" applyBorder="1" applyAlignment="1">
      <alignment horizontal="center" vertical="center"/>
    </xf>
    <xf numFmtId="2" fontId="8" fillId="10" borderId="0" xfId="0" applyNumberFormat="1" applyFont="1" applyFill="1" applyBorder="1" applyAlignment="1" applyProtection="1">
      <alignment horizontal="center" vertical="center"/>
    </xf>
    <xf numFmtId="166" fontId="1" fillId="0" borderId="13" xfId="3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2" fontId="16" fillId="10" borderId="0" xfId="0" applyNumberFormat="1" applyFont="1" applyFill="1" applyBorder="1" applyAlignment="1" applyProtection="1">
      <alignment horizontal="center" vertical="center"/>
    </xf>
    <xf numFmtId="2" fontId="16" fillId="0" borderId="30" xfId="0" applyNumberFormat="1" applyFont="1" applyBorder="1" applyAlignment="1" applyProtection="1">
      <alignment horizontal="center" vertical="center"/>
    </xf>
    <xf numFmtId="1" fontId="16" fillId="5" borderId="4" xfId="0" applyNumberFormat="1" applyFont="1" applyFill="1" applyBorder="1" applyAlignment="1" applyProtection="1">
      <alignment horizontal="center" vertical="center"/>
      <protection locked="0"/>
    </xf>
    <xf numFmtId="2" fontId="16" fillId="5" borderId="4" xfId="0" applyNumberFormat="1" applyFont="1" applyFill="1" applyBorder="1" applyAlignment="1" applyProtection="1">
      <alignment horizontal="center" vertical="center"/>
      <protection locked="0"/>
    </xf>
    <xf numFmtId="2" fontId="16" fillId="0" borderId="36" xfId="0" applyNumberFormat="1" applyFont="1" applyBorder="1" applyAlignment="1" applyProtection="1">
      <alignment horizontal="center" vertical="center"/>
    </xf>
    <xf numFmtId="2" fontId="16" fillId="0" borderId="28" xfId="0" applyNumberFormat="1" applyFont="1" applyBorder="1" applyAlignment="1" applyProtection="1">
      <alignment horizontal="center" vertical="center"/>
    </xf>
    <xf numFmtId="2" fontId="16" fillId="10" borderId="26" xfId="0" applyNumberFormat="1" applyFont="1" applyFill="1" applyBorder="1" applyAlignment="1" applyProtection="1">
      <alignment horizontal="center" vertical="center"/>
    </xf>
    <xf numFmtId="2" fontId="16" fillId="0" borderId="38" xfId="0" applyNumberFormat="1" applyFont="1" applyBorder="1" applyAlignment="1" applyProtection="1">
      <alignment horizontal="center" vertical="center"/>
    </xf>
    <xf numFmtId="2" fontId="16" fillId="0" borderId="32" xfId="0" applyNumberFormat="1" applyFont="1" applyBorder="1" applyAlignment="1" applyProtection="1">
      <alignment horizontal="center" vertical="center"/>
    </xf>
    <xf numFmtId="1" fontId="16" fillId="7" borderId="6" xfId="0" applyNumberFormat="1" applyFont="1" applyFill="1" applyBorder="1" applyAlignment="1" applyProtection="1">
      <alignment horizontal="center" vertical="center"/>
      <protection locked="0"/>
    </xf>
    <xf numFmtId="2" fontId="16" fillId="7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41" xfId="0" applyNumberFormat="1" applyFont="1" applyBorder="1" applyAlignment="1" applyProtection="1">
      <alignment horizontal="center" vertical="center"/>
    </xf>
    <xf numFmtId="1" fontId="16" fillId="5" borderId="6" xfId="0" applyNumberFormat="1" applyFont="1" applyFill="1" applyBorder="1" applyAlignment="1" applyProtection="1">
      <alignment horizontal="center" vertical="center"/>
      <protection locked="0"/>
    </xf>
    <xf numFmtId="2" fontId="16" fillId="5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42" xfId="0" applyNumberFormat="1" applyFont="1" applyBorder="1" applyAlignment="1" applyProtection="1">
      <alignment horizontal="center" vertical="center"/>
    </xf>
    <xf numFmtId="1" fontId="16" fillId="7" borderId="4" xfId="0" applyNumberFormat="1" applyFont="1" applyFill="1" applyBorder="1" applyAlignment="1" applyProtection="1">
      <alignment horizontal="center" vertical="center"/>
      <protection locked="0"/>
    </xf>
    <xf numFmtId="2" fontId="16" fillId="7" borderId="4" xfId="0" applyNumberFormat="1" applyFont="1" applyFill="1" applyBorder="1" applyAlignment="1" applyProtection="1">
      <alignment horizontal="center" vertical="center"/>
      <protection locked="0"/>
    </xf>
    <xf numFmtId="2" fontId="16" fillId="0" borderId="5" xfId="0" applyNumberFormat="1" applyFont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2" fontId="0" fillId="10" borderId="0" xfId="0" applyNumberFormat="1" applyFill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 vertical="center"/>
    </xf>
    <xf numFmtId="167" fontId="0" fillId="0" borderId="0" xfId="0" applyNumberFormat="1" applyProtection="1"/>
    <xf numFmtId="2" fontId="1" fillId="7" borderId="25" xfId="0" applyNumberFormat="1" applyFont="1" applyFill="1" applyBorder="1" applyAlignment="1" applyProtection="1">
      <alignment horizontal="center" vertical="center" wrapText="1"/>
    </xf>
    <xf numFmtId="2" fontId="1" fillId="7" borderId="8" xfId="0" applyNumberFormat="1" applyFont="1" applyFill="1" applyBorder="1" applyAlignment="1" applyProtection="1">
      <alignment horizontal="center" vertical="center" wrapText="1"/>
    </xf>
    <xf numFmtId="2" fontId="1" fillId="0" borderId="20" xfId="0" applyNumberFormat="1" applyFont="1" applyFill="1" applyBorder="1" applyAlignment="1" applyProtection="1">
      <alignment horizontal="center" vertical="center" wrapText="1"/>
    </xf>
    <xf numFmtId="164" fontId="1" fillId="0" borderId="43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2" fontId="1" fillId="7" borderId="21" xfId="0" applyNumberFormat="1" applyFont="1" applyFill="1" applyBorder="1" applyAlignment="1" applyProtection="1">
      <alignment horizontal="center" vertical="center" wrapText="1"/>
    </xf>
    <xf numFmtId="2" fontId="1" fillId="0" borderId="37" xfId="0" applyNumberFormat="1" applyFont="1" applyFill="1" applyBorder="1" applyAlignment="1" applyProtection="1">
      <alignment horizontal="center" vertical="center"/>
    </xf>
    <xf numFmtId="10" fontId="13" fillId="0" borderId="8" xfId="0" applyNumberFormat="1" applyFont="1" applyBorder="1" applyAlignment="1" applyProtection="1">
      <alignment horizontal="center" vertical="center"/>
    </xf>
    <xf numFmtId="2" fontId="1" fillId="0" borderId="21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20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2" fontId="16" fillId="0" borderId="2" xfId="0" applyNumberFormat="1" applyFont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</xf>
    <xf numFmtId="2" fontId="16" fillId="0" borderId="14" xfId="0" applyNumberFormat="1" applyFont="1" applyBorder="1" applyAlignment="1" applyProtection="1">
      <alignment horizontal="center" vertical="center"/>
    </xf>
    <xf numFmtId="2" fontId="16" fillId="0" borderId="16" xfId="0" applyNumberFormat="1" applyFont="1" applyBorder="1" applyAlignment="1" applyProtection="1">
      <alignment horizontal="center" vertical="center"/>
    </xf>
    <xf numFmtId="2" fontId="16" fillId="0" borderId="39" xfId="0" applyNumberFormat="1" applyFont="1" applyBorder="1" applyAlignment="1" applyProtection="1">
      <alignment horizontal="center" vertical="center"/>
    </xf>
    <xf numFmtId="2" fontId="16" fillId="0" borderId="40" xfId="0" applyNumberFormat="1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 applyProtection="1">
      <alignment horizontal="center"/>
    </xf>
    <xf numFmtId="2" fontId="16" fillId="0" borderId="27" xfId="0" applyNumberFormat="1" applyFont="1" applyBorder="1" applyAlignment="1" applyProtection="1">
      <alignment horizontal="left" vertical="top" wrapText="1"/>
    </xf>
    <xf numFmtId="2" fontId="16" fillId="0" borderId="0" xfId="0" applyNumberFormat="1" applyFont="1" applyBorder="1" applyAlignment="1" applyProtection="1">
      <alignment horizontal="left" vertical="top" wrapText="1"/>
    </xf>
    <xf numFmtId="2" fontId="22" fillId="0" borderId="28" xfId="0" applyNumberFormat="1" applyFont="1" applyBorder="1" applyAlignment="1" applyProtection="1">
      <alignment horizontal="center" vertical="center"/>
    </xf>
    <xf numFmtId="2" fontId="22" fillId="0" borderId="19" xfId="0" applyNumberFormat="1" applyFont="1" applyBorder="1" applyAlignment="1" applyProtection="1">
      <alignment horizontal="center" vertical="center"/>
    </xf>
    <xf numFmtId="2" fontId="16" fillId="0" borderId="17" xfId="0" applyNumberFormat="1" applyFont="1" applyBorder="1" applyAlignment="1" applyProtection="1">
      <alignment horizontal="center" vertical="center"/>
    </xf>
    <xf numFmtId="2" fontId="16" fillId="0" borderId="37" xfId="0" applyNumberFormat="1" applyFont="1" applyBorder="1" applyAlignment="1" applyProtection="1">
      <alignment horizontal="center" vertical="center"/>
    </xf>
    <xf numFmtId="2" fontId="16" fillId="0" borderId="12" xfId="0" applyNumberFormat="1" applyFont="1" applyBorder="1" applyAlignment="1" applyProtection="1">
      <alignment horizontal="center" vertical="center"/>
    </xf>
    <xf numFmtId="2" fontId="8" fillId="9" borderId="20" xfId="0" applyNumberFormat="1" applyFont="1" applyFill="1" applyBorder="1" applyAlignment="1" applyProtection="1">
      <alignment horizontal="center" vertical="center"/>
      <protection locked="0"/>
    </xf>
    <xf numFmtId="2" fontId="8" fillId="9" borderId="21" xfId="0" applyNumberFormat="1" applyFont="1" applyFill="1" applyBorder="1" applyAlignment="1" applyProtection="1">
      <alignment horizontal="center" vertical="center"/>
      <protection locked="0"/>
    </xf>
    <xf numFmtId="2" fontId="8" fillId="9" borderId="22" xfId="0" applyNumberFormat="1" applyFont="1" applyFill="1" applyBorder="1" applyAlignment="1" applyProtection="1">
      <alignment horizontal="center" vertical="center"/>
      <protection locked="0"/>
    </xf>
    <xf numFmtId="9" fontId="0" fillId="0" borderId="1" xfId="2" applyFont="1" applyFill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9" fontId="16" fillId="0" borderId="1" xfId="2" applyFont="1" applyFill="1" applyBorder="1" applyAlignment="1" applyProtection="1">
      <alignment horizontal="center" vertical="center"/>
    </xf>
    <xf numFmtId="9" fontId="16" fillId="0" borderId="1" xfId="2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9" fontId="16" fillId="0" borderId="1" xfId="2" applyFont="1" applyBorder="1" applyAlignment="1" applyProtection="1">
      <alignment horizontal="center"/>
    </xf>
    <xf numFmtId="2" fontId="33" fillId="0" borderId="28" xfId="0" applyNumberFormat="1" applyFont="1" applyBorder="1" applyAlignment="1" applyProtection="1">
      <alignment horizontal="center" vertical="center"/>
    </xf>
    <xf numFmtId="2" fontId="33" fillId="0" borderId="0" xfId="0" applyNumberFormat="1" applyFont="1" applyBorder="1" applyAlignment="1" applyProtection="1">
      <alignment horizontal="center" vertical="center"/>
    </xf>
    <xf numFmtId="9" fontId="1" fillId="0" borderId="1" xfId="2" applyFont="1" applyFill="1" applyBorder="1" applyAlignment="1" applyProtection="1">
      <alignment horizontal="center" vertical="center" wrapText="1"/>
    </xf>
    <xf numFmtId="2" fontId="9" fillId="4" borderId="0" xfId="0" applyNumberFormat="1" applyFont="1" applyFill="1" applyBorder="1" applyAlignment="1" applyProtection="1">
      <alignment horizontal="center" vertical="center"/>
    </xf>
    <xf numFmtId="2" fontId="9" fillId="4" borderId="7" xfId="0" applyNumberFormat="1" applyFont="1" applyFill="1" applyBorder="1" applyAlignment="1" applyProtection="1">
      <alignment horizontal="center" vertical="center"/>
    </xf>
    <xf numFmtId="2" fontId="12" fillId="0" borderId="20" xfId="0" applyNumberFormat="1" applyFon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2" fontId="11" fillId="0" borderId="0" xfId="0" applyNumberFormat="1" applyFont="1" applyAlignment="1" applyProtection="1">
      <alignment horizontal="right"/>
    </xf>
    <xf numFmtId="2" fontId="11" fillId="0" borderId="26" xfId="0" applyNumberFormat="1" applyFont="1" applyBorder="1" applyAlignment="1" applyProtection="1">
      <alignment horizontal="right"/>
    </xf>
    <xf numFmtId="2" fontId="9" fillId="4" borderId="30" xfId="0" applyNumberFormat="1" applyFont="1" applyFill="1" applyBorder="1" applyAlignment="1" applyProtection="1">
      <alignment horizontal="center" vertical="center"/>
    </xf>
    <xf numFmtId="2" fontId="9" fillId="4" borderId="29" xfId="0" applyNumberFormat="1" applyFont="1" applyFill="1" applyBorder="1" applyAlignment="1" applyProtection="1">
      <alignment horizontal="center" vertical="center"/>
    </xf>
    <xf numFmtId="2" fontId="9" fillId="4" borderId="31" xfId="0" applyNumberFormat="1" applyFont="1" applyFill="1" applyBorder="1" applyAlignment="1" applyProtection="1">
      <alignment horizontal="center" vertical="center"/>
    </xf>
    <xf numFmtId="2" fontId="9" fillId="4" borderId="32" xfId="0" applyNumberFormat="1" applyFont="1" applyFill="1" applyBorder="1" applyAlignment="1" applyProtection="1">
      <alignment horizontal="center" vertical="center"/>
    </xf>
    <xf numFmtId="2" fontId="9" fillId="4" borderId="33" xfId="0" applyNumberFormat="1" applyFont="1" applyFill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11" fillId="0" borderId="0" xfId="0" applyNumberFormat="1" applyFont="1" applyBorder="1" applyAlignment="1" applyProtection="1">
      <alignment horizontal="left" vertical="center"/>
    </xf>
    <xf numFmtId="2" fontId="11" fillId="0" borderId="19" xfId="0" applyNumberFormat="1" applyFont="1" applyBorder="1" applyAlignment="1" applyProtection="1">
      <alignment horizontal="left" vertical="center"/>
    </xf>
    <xf numFmtId="2" fontId="8" fillId="10" borderId="14" xfId="0" applyNumberFormat="1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 vertical="center"/>
    </xf>
    <xf numFmtId="2" fontId="1" fillId="4" borderId="18" xfId="0" applyNumberFormat="1" applyFont="1" applyFill="1" applyBorder="1" applyAlignment="1" applyProtection="1">
      <alignment horizontal="center" vertical="center" wrapText="1"/>
    </xf>
    <xf numFmtId="2" fontId="1" fillId="4" borderId="8" xfId="0" applyNumberFormat="1" applyFont="1" applyFill="1" applyBorder="1" applyAlignment="1" applyProtection="1">
      <alignment horizontal="center" vertical="center" wrapText="1"/>
    </xf>
    <xf numFmtId="10" fontId="1" fillId="0" borderId="13" xfId="0" applyNumberFormat="1" applyFont="1" applyFill="1" applyBorder="1" applyAlignment="1" applyProtection="1">
      <alignment horizontal="center" vertical="center" wrapText="1"/>
    </xf>
    <xf numFmtId="10" fontId="1" fillId="0" borderId="8" xfId="0" applyNumberFormat="1" applyFont="1" applyFill="1" applyBorder="1" applyAlignment="1" applyProtection="1">
      <alignment horizontal="center" vertical="center" wrapText="1"/>
    </xf>
    <xf numFmtId="2" fontId="0" fillId="4" borderId="21" xfId="0" applyNumberFormat="1" applyFill="1" applyBorder="1" applyAlignment="1" applyProtection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 vertical="center" wrapText="1"/>
    </xf>
    <xf numFmtId="2" fontId="1" fillId="0" borderId="37" xfId="0" applyNumberFormat="1" applyFont="1" applyFill="1" applyBorder="1" applyAlignment="1" applyProtection="1">
      <alignment horizontal="center" vertical="center" wrapText="1"/>
    </xf>
    <xf numFmtId="165" fontId="1" fillId="0" borderId="37" xfId="0" applyNumberFormat="1" applyFont="1" applyFill="1" applyBorder="1" applyAlignment="1" applyProtection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 vertical="center" wrapText="1"/>
    </xf>
    <xf numFmtId="2" fontId="1" fillId="4" borderId="20" xfId="0" applyNumberFormat="1" applyFont="1" applyFill="1" applyBorder="1" applyAlignment="1" applyProtection="1">
      <alignment horizontal="center" vertical="center"/>
    </xf>
    <xf numFmtId="2" fontId="1" fillId="4" borderId="21" xfId="0" applyNumberFormat="1" applyFont="1" applyFill="1" applyBorder="1" applyAlignment="1" applyProtection="1">
      <alignment horizontal="center" vertical="center" wrapText="1"/>
    </xf>
    <xf numFmtId="2" fontId="1" fillId="4" borderId="8" xfId="0" applyNumberFormat="1" applyFont="1" applyFill="1" applyBorder="1" applyAlignment="1" applyProtection="1">
      <alignment horizontal="center" vertical="center"/>
    </xf>
    <xf numFmtId="2" fontId="1" fillId="0" borderId="43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2" fontId="7" fillId="7" borderId="13" xfId="0" applyNumberFormat="1" applyFont="1" applyFill="1" applyBorder="1" applyAlignment="1" applyProtection="1">
      <alignment horizontal="center"/>
    </xf>
    <xf numFmtId="2" fontId="7" fillId="7" borderId="8" xfId="0" applyNumberFormat="1" applyFont="1" applyFill="1" applyBorder="1" applyAlignment="1" applyProtection="1">
      <alignment horizontal="center"/>
    </xf>
    <xf numFmtId="1" fontId="1" fillId="0" borderId="21" xfId="0" applyNumberFormat="1" applyFont="1" applyFill="1" applyBorder="1" applyAlignment="1" applyProtection="1">
      <alignment horizontal="center" vertical="center" wrapText="1"/>
    </xf>
    <xf numFmtId="2" fontId="1" fillId="7" borderId="20" xfId="0" applyNumberFormat="1" applyFont="1" applyFill="1" applyBorder="1" applyAlignment="1" applyProtection="1">
      <alignment horizontal="center" vertical="center" wrapText="1"/>
    </xf>
    <xf numFmtId="2" fontId="0" fillId="7" borderId="22" xfId="0" applyNumberFormat="1" applyFill="1" applyBorder="1" applyAlignment="1" applyProtection="1">
      <alignment horizontal="center" vertical="center" wrapText="1"/>
    </xf>
    <xf numFmtId="10" fontId="0" fillId="0" borderId="22" xfId="0" applyNumberFormat="1" applyFill="1" applyBorder="1" applyAlignment="1" applyProtection="1">
      <alignment horizontal="center" vertical="center" wrapText="1"/>
    </xf>
    <xf numFmtId="10" fontId="1" fillId="0" borderId="36" xfId="0" applyNumberFormat="1" applyFont="1" applyFill="1" applyBorder="1" applyAlignment="1" applyProtection="1">
      <alignment horizontal="center" vertical="center" wrapText="1"/>
    </xf>
    <xf numFmtId="10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2" fontId="0" fillId="7" borderId="8" xfId="0" applyNumberForma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0" fillId="0" borderId="0" xfId="0" applyNumberFormat="1" applyFill="1" applyProtection="1"/>
    <xf numFmtId="164" fontId="1" fillId="7" borderId="8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/>
    </xf>
    <xf numFmtId="166" fontId="1" fillId="0" borderId="8" xfId="3" applyNumberFormat="1" applyFont="1" applyFill="1" applyBorder="1" applyAlignment="1" applyProtection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2" fontId="38" fillId="0" borderId="0" xfId="0" applyNumberFormat="1" applyFont="1" applyAlignment="1">
      <alignment horizontal="center"/>
    </xf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2">
    <dxf>
      <font>
        <strike val="0"/>
        <color rgb="FF00B050"/>
      </font>
    </dxf>
    <dxf>
      <font>
        <strike val="0"/>
        <color rgb="FF00B050"/>
      </font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35</xdr:row>
      <xdr:rowOff>38099</xdr:rowOff>
    </xdr:from>
    <xdr:to>
      <xdr:col>3</xdr:col>
      <xdr:colOff>153191</xdr:colOff>
      <xdr:row>35</xdr:row>
      <xdr:rowOff>590550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334124"/>
          <a:ext cx="2537616" cy="5524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115091</xdr:colOff>
      <xdr:row>2</xdr:row>
      <xdr:rowOff>95250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616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19050</xdr:rowOff>
    </xdr:from>
    <xdr:to>
      <xdr:col>3</xdr:col>
      <xdr:colOff>115091</xdr:colOff>
      <xdr:row>72</xdr:row>
      <xdr:rowOff>87540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25375"/>
          <a:ext cx="2537616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0"/>
  <sheetViews>
    <sheetView topLeftCell="A21" zoomScale="84" zoomScaleNormal="84" workbookViewId="0">
      <selection activeCell="D43" sqref="D43"/>
    </sheetView>
  </sheetViews>
  <sheetFormatPr baseColWidth="10" defaultRowHeight="12.75" x14ac:dyDescent="0.2"/>
  <cols>
    <col min="1" max="1" width="4.28515625" style="76" bestFit="1" customWidth="1"/>
    <col min="2" max="2" width="3.7109375" style="76" customWidth="1"/>
    <col min="3" max="3" width="28.42578125" style="76" customWidth="1"/>
    <col min="4" max="4" width="7.140625" style="76" customWidth="1"/>
    <col min="5" max="5" width="10.85546875" style="76" customWidth="1"/>
    <col min="6" max="6" width="16.85546875" style="76" customWidth="1"/>
    <col min="7" max="7" width="13" style="76" customWidth="1"/>
    <col min="8" max="8" width="9.42578125" style="76" customWidth="1"/>
    <col min="9" max="9" width="16.28515625" style="76" customWidth="1"/>
    <col min="10" max="10" width="11.7109375" style="76" bestFit="1" customWidth="1"/>
    <col min="11" max="11" width="9.28515625" style="76" customWidth="1"/>
    <col min="12" max="12" width="7.85546875" style="76" bestFit="1" customWidth="1"/>
    <col min="13" max="13" width="5.7109375" style="76" bestFit="1" customWidth="1"/>
    <col min="14" max="14" width="7.140625" style="76" bestFit="1" customWidth="1"/>
    <col min="15" max="15" width="11.85546875" style="76" bestFit="1" customWidth="1"/>
    <col min="16" max="16" width="8.140625" style="76" bestFit="1" customWidth="1"/>
    <col min="17" max="17" width="10.42578125" style="76" customWidth="1"/>
    <col min="18" max="18" width="8.5703125" style="76" customWidth="1"/>
    <col min="19" max="16384" width="11.42578125" style="76"/>
  </cols>
  <sheetData>
    <row r="2" spans="1:14" ht="14.25" x14ac:dyDescent="0.2">
      <c r="M2" s="124" t="str">
        <f>IF($D$39="",0,IF($D$39&gt;10,HLOOKUP($D$39,COMPOSITTIONS!A:Y,4,FALSE),""))</f>
        <v/>
      </c>
    </row>
    <row r="4" spans="1:14" ht="27.75" customHeight="1" x14ac:dyDescent="0.2">
      <c r="A4" s="245" t="s">
        <v>106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122"/>
    </row>
    <row r="5" spans="1:14" ht="51" customHeight="1" x14ac:dyDescent="0.2">
      <c r="A5" s="225" t="s">
        <v>111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100"/>
    </row>
    <row r="6" spans="1:14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5"/>
    </row>
    <row r="7" spans="1:14" x14ac:dyDescent="0.2">
      <c r="A7" s="79">
        <f>COMPOSITTIONS!D1</f>
        <v>1</v>
      </c>
      <c r="B7" s="214" t="str">
        <f>COMPOSITTIONS!D2</f>
        <v>MEL N°=1  MOHA T ALEX</v>
      </c>
      <c r="C7" s="214"/>
      <c r="D7" s="93">
        <v>30</v>
      </c>
      <c r="E7" s="214" t="str">
        <f>COMPOSITTIONS!C9</f>
        <v>Cretelle des prés</v>
      </c>
      <c r="F7" s="214"/>
      <c r="G7" s="93">
        <v>59</v>
      </c>
      <c r="H7" s="224" t="str">
        <f>COMPOSITTIONS!C38</f>
        <v>RGA 4n</v>
      </c>
      <c r="I7" s="224"/>
      <c r="J7" s="75"/>
      <c r="K7" s="75"/>
    </row>
    <row r="8" spans="1:14" ht="12.75" customHeight="1" x14ac:dyDescent="0.2">
      <c r="A8" s="79">
        <f>COMPOSITTIONS!E1</f>
        <v>2</v>
      </c>
      <c r="B8" s="214" t="str">
        <f>COMPOSITTIONS!E2</f>
        <v>MEL N°=2  SEIGLE T INCARNAT</v>
      </c>
      <c r="C8" s="214"/>
      <c r="D8" s="93">
        <v>31</v>
      </c>
      <c r="E8" s="214" t="str">
        <f>COMPOSITTIONS!C10</f>
        <v>Dactyle</v>
      </c>
      <c r="F8" s="214"/>
      <c r="G8" s="93">
        <v>60</v>
      </c>
      <c r="H8" s="224" t="str">
        <f>COMPOSITTIONS!C39</f>
        <v>RGH 2n</v>
      </c>
      <c r="I8" s="224"/>
      <c r="J8" s="75"/>
      <c r="K8" s="75"/>
    </row>
    <row r="9" spans="1:14" ht="12.75" customHeight="1" x14ac:dyDescent="0.2">
      <c r="A9" s="79">
        <f>COMPOSITTIONS!F1</f>
        <v>3</v>
      </c>
      <c r="B9" s="214" t="str">
        <f>COMPOSITTIONS!F2</f>
        <v>MEL N°=3  AVOINE VESCE DE P</v>
      </c>
      <c r="C9" s="214"/>
      <c r="D9" s="93">
        <v>32</v>
      </c>
      <c r="E9" s="214" t="str">
        <f>COMPOSITTIONS!C11</f>
        <v>Fenugrec</v>
      </c>
      <c r="F9" s="214"/>
      <c r="G9" s="93">
        <v>61</v>
      </c>
      <c r="H9" s="224" t="str">
        <f>COMPOSITTIONS!C40</f>
        <v>RGH 4n</v>
      </c>
      <c r="I9" s="224"/>
      <c r="J9" s="75"/>
      <c r="K9" s="75"/>
    </row>
    <row r="10" spans="1:14" ht="12.75" customHeight="1" x14ac:dyDescent="0.2">
      <c r="A10" s="79">
        <f>COMPOSITTIONS!G1</f>
        <v>4</v>
      </c>
      <c r="B10" s="214" t="str">
        <f>COMPOSITTIONS!G2</f>
        <v>MEL N = 31 AVOINE VESCE VELUE</v>
      </c>
      <c r="C10" s="214"/>
      <c r="D10" s="93">
        <v>33</v>
      </c>
      <c r="E10" s="214" t="str">
        <f>COMPOSITTIONS!C12</f>
        <v>Festulolium</v>
      </c>
      <c r="F10" s="214"/>
      <c r="G10" s="93">
        <v>62</v>
      </c>
      <c r="H10" s="224" t="str">
        <f>COMPOSITTIONS!C41</f>
        <v>RGI A 2N</v>
      </c>
      <c r="I10" s="224"/>
      <c r="L10" s="94"/>
      <c r="M10" s="95"/>
      <c r="N10" s="94"/>
    </row>
    <row r="11" spans="1:14" ht="15" customHeight="1" x14ac:dyDescent="0.2">
      <c r="A11" s="79">
        <f>COMPOSITTIONS!H1</f>
        <v>5</v>
      </c>
      <c r="B11" s="214" t="str">
        <f>COMPOSITTIONS!H2</f>
        <v>MEL N°=4  MOUTARDE PHACELIE</v>
      </c>
      <c r="C11" s="214"/>
      <c r="D11" s="93">
        <v>34</v>
      </c>
      <c r="E11" s="214" t="str">
        <f>COMPOSITTIONS!C13</f>
        <v>Fétuque des prés</v>
      </c>
      <c r="F11" s="214"/>
      <c r="G11" s="93">
        <v>63</v>
      </c>
      <c r="H11" s="224" t="str">
        <f>COMPOSITTIONS!C42</f>
        <v>RGI A 4N</v>
      </c>
      <c r="I11" s="224"/>
      <c r="L11" s="94"/>
      <c r="M11" s="95"/>
      <c r="N11" s="94"/>
    </row>
    <row r="12" spans="1:14" x14ac:dyDescent="0.2">
      <c r="A12" s="79">
        <f>COMPOSITTIONS!I1</f>
        <v>6</v>
      </c>
      <c r="B12" s="214" t="str">
        <f>COMPOSITTIONS!I2</f>
        <v>MEL N°5 FENUGREC RADIS CHI</v>
      </c>
      <c r="C12" s="214"/>
      <c r="D12" s="93">
        <v>35</v>
      </c>
      <c r="E12" s="214" t="str">
        <f>COMPOSITTIONS!C14</f>
        <v>Fétuque Elevée</v>
      </c>
      <c r="F12" s="214"/>
      <c r="G12" s="93">
        <v>64</v>
      </c>
      <c r="H12" s="224" t="str">
        <f>COMPOSITTIONS!C43</f>
        <v>RGI NA 2N</v>
      </c>
      <c r="I12" s="224"/>
      <c r="L12" s="94"/>
      <c r="M12" s="95"/>
      <c r="N12" s="94"/>
    </row>
    <row r="13" spans="1:14" ht="12.75" customHeight="1" x14ac:dyDescent="0.2">
      <c r="A13" s="79">
        <f>COMPOSITTIONS!J1</f>
        <v>7</v>
      </c>
      <c r="B13" s="214" t="str">
        <f>COMPOSITTIONS!J2</f>
        <v>MEL PHACELIE RADIS CHINOIS</v>
      </c>
      <c r="C13" s="214"/>
      <c r="D13" s="93">
        <v>36</v>
      </c>
      <c r="E13" s="214" t="str">
        <f>COMPOSITTIONS!C15</f>
        <v>Fétuque rouge</v>
      </c>
      <c r="F13" s="214"/>
      <c r="G13" s="93">
        <v>65</v>
      </c>
      <c r="H13" s="224" t="str">
        <f>COMPOSITTIONS!C44</f>
        <v>RGI NA 4N</v>
      </c>
      <c r="I13" s="224"/>
      <c r="L13" s="94"/>
      <c r="M13" s="95"/>
      <c r="N13" s="94"/>
    </row>
    <row r="14" spans="1:14" x14ac:dyDescent="0.2">
      <c r="A14" s="79">
        <f>COMPOSITTIONS!K1</f>
        <v>8</v>
      </c>
      <c r="B14" s="214" t="str">
        <f>COMPOSITTIONS!K2</f>
        <v>MELANGE EQUIN</v>
      </c>
      <c r="C14" s="214"/>
      <c r="D14" s="93">
        <v>37</v>
      </c>
      <c r="E14" s="214" t="str">
        <f>COMPOSITTIONS!C16</f>
        <v>Feverolle</v>
      </c>
      <c r="F14" s="214"/>
      <c r="G14" s="93">
        <v>66</v>
      </c>
      <c r="H14" s="224" t="str">
        <f>COMPOSITTIONS!C45</f>
        <v>Sainfoin (cosse)</v>
      </c>
      <c r="I14" s="224"/>
      <c r="L14" s="94"/>
      <c r="M14" s="95"/>
      <c r="N14" s="94"/>
    </row>
    <row r="15" spans="1:14" ht="12.75" customHeight="1" x14ac:dyDescent="0.2">
      <c r="A15" s="79">
        <f>COMPOSITTIONS!L1</f>
        <v>9</v>
      </c>
      <c r="B15" s="214" t="str">
        <f>COMPOSITTIONS!L2</f>
        <v>MELANGE FOIN DAUPHINE SAVOY</v>
      </c>
      <c r="C15" s="214"/>
      <c r="D15" s="93">
        <v>38</v>
      </c>
      <c r="E15" s="214" t="str">
        <f>COMPOSITTIONS!C17</f>
        <v>Fléole des prés</v>
      </c>
      <c r="F15" s="214"/>
      <c r="G15" s="93">
        <v>67</v>
      </c>
      <c r="H15" s="224" t="str">
        <f>COMPOSITTIONS!C46</f>
        <v>Sainfoin decortiqué</v>
      </c>
      <c r="I15" s="224"/>
      <c r="L15" s="94"/>
      <c r="M15" s="95"/>
      <c r="N15" s="94"/>
    </row>
    <row r="16" spans="1:14" ht="12.75" customHeight="1" x14ac:dyDescent="0.2">
      <c r="A16" s="79">
        <f>COMPOSITTIONS!M1</f>
        <v>10</v>
      </c>
      <c r="B16" s="214" t="str">
        <f>COMPOSITTIONS!M2</f>
        <v>MELANGE GRINGO</v>
      </c>
      <c r="C16" s="214"/>
      <c r="D16" s="93">
        <v>39</v>
      </c>
      <c r="E16" s="214" t="str">
        <f>COMPOSITTIONS!C18</f>
        <v>Gesse</v>
      </c>
      <c r="F16" s="214"/>
      <c r="G16" s="93">
        <v>68</v>
      </c>
      <c r="H16" s="224" t="str">
        <f>COMPOSITTIONS!C47</f>
        <v>Sarrasin</v>
      </c>
      <c r="I16" s="224"/>
      <c r="L16" s="94"/>
      <c r="M16" s="95"/>
      <c r="N16" s="94"/>
    </row>
    <row r="17" spans="1:14" x14ac:dyDescent="0.2">
      <c r="A17" s="79">
        <f>COMPOSITTIONS!N1</f>
        <v>11</v>
      </c>
      <c r="B17" s="214" t="str">
        <f>COMPOSITTIONS!N2</f>
        <v xml:space="preserve">MELANGE PROTA + FIRST   </v>
      </c>
      <c r="C17" s="214"/>
      <c r="D17" s="93">
        <v>40</v>
      </c>
      <c r="E17" s="214" t="str">
        <f>COMPOSITTIONS!C19</f>
        <v>Lentille noire</v>
      </c>
      <c r="F17" s="214"/>
      <c r="G17" s="93">
        <v>69</v>
      </c>
      <c r="H17" s="224" t="str">
        <f>COMPOSITTIONS!C48</f>
        <v>Seigle forestier</v>
      </c>
      <c r="I17" s="224"/>
      <c r="L17" s="94"/>
      <c r="M17" s="95"/>
      <c r="N17" s="94"/>
    </row>
    <row r="18" spans="1:14" x14ac:dyDescent="0.2">
      <c r="A18" s="79">
        <f>COMPOSITTIONS!O1</f>
        <v>12</v>
      </c>
      <c r="B18" s="214" t="str">
        <f>COMPOSITTIONS!O2</f>
        <v>MELANGE PROTA PLUS 3 MIXTE</v>
      </c>
      <c r="C18" s="214"/>
      <c r="D18" s="93">
        <v>41</v>
      </c>
      <c r="E18" s="214" t="str">
        <f>COMPOSITTIONS!C20</f>
        <v>Lin</v>
      </c>
      <c r="F18" s="214"/>
      <c r="G18" s="93">
        <v>70</v>
      </c>
      <c r="H18" s="224" t="str">
        <f>COMPOSITTIONS!C49</f>
        <v>Seigle fourrager</v>
      </c>
      <c r="I18" s="224"/>
      <c r="L18" s="94"/>
      <c r="M18" s="95"/>
      <c r="N18" s="94"/>
    </row>
    <row r="19" spans="1:14" x14ac:dyDescent="0.2">
      <c r="A19" s="79">
        <f>COMPOSITTIONS!P1</f>
        <v>13</v>
      </c>
      <c r="B19" s="214" t="str">
        <f>COMPOSITTIONS!P2</f>
        <v>MELANGE SATANAS</v>
      </c>
      <c r="C19" s="214"/>
      <c r="D19" s="93">
        <v>42</v>
      </c>
      <c r="E19" s="214" t="str">
        <f>COMPOSITTIONS!C21</f>
        <v>Lotier</v>
      </c>
      <c r="F19" s="214"/>
      <c r="G19" s="93">
        <v>71</v>
      </c>
      <c r="H19" s="224" t="str">
        <f>COMPOSITTIONS!C50</f>
        <v>Sorgho fourrager</v>
      </c>
      <c r="I19" s="224"/>
      <c r="L19" s="94"/>
      <c r="M19" s="95"/>
      <c r="N19" s="94"/>
    </row>
    <row r="20" spans="1:14" x14ac:dyDescent="0.2">
      <c r="A20" s="79">
        <f>COMPOSITTIONS!Q1</f>
        <v>14</v>
      </c>
      <c r="B20" s="214" t="str">
        <f>COMPOSITTIONS!Q2</f>
        <v xml:space="preserve">MELANGE ST MARCELIN </v>
      </c>
      <c r="C20" s="214"/>
      <c r="D20" s="93">
        <v>43</v>
      </c>
      <c r="E20" s="214" t="str">
        <f>COMPOSITTIONS!C22</f>
        <v>Luzerne</v>
      </c>
      <c r="F20" s="214"/>
      <c r="G20" s="93">
        <v>72</v>
      </c>
      <c r="H20" s="224" t="str">
        <f>COMPOSITTIONS!C51</f>
        <v>Tournesol</v>
      </c>
      <c r="I20" s="224"/>
      <c r="L20" s="94"/>
      <c r="M20" s="95"/>
      <c r="N20" s="94"/>
    </row>
    <row r="21" spans="1:14" x14ac:dyDescent="0.2">
      <c r="A21" s="79">
        <f>COMPOSITTIONS!R1</f>
        <v>15</v>
      </c>
      <c r="B21" s="214" t="str">
        <f>COMPOSITTIONS!R2</f>
        <v xml:space="preserve">MELANGE ZONES HUMIDES </v>
      </c>
      <c r="C21" s="214"/>
      <c r="D21" s="93">
        <v>44</v>
      </c>
      <c r="E21" s="214" t="str">
        <f>COMPOSITTIONS!C23</f>
        <v>Mais</v>
      </c>
      <c r="F21" s="214"/>
      <c r="G21" s="93">
        <v>73</v>
      </c>
      <c r="H21" s="224" t="str">
        <f>COMPOSITTIONS!C52</f>
        <v>Trèfle blanc géant</v>
      </c>
      <c r="I21" s="224"/>
      <c r="L21" s="94"/>
      <c r="M21" s="95"/>
      <c r="N21" s="94"/>
    </row>
    <row r="22" spans="1:14" x14ac:dyDescent="0.2">
      <c r="A22" s="79">
        <f>COMPOSITTIONS!S1</f>
        <v>16</v>
      </c>
      <c r="B22" s="214" t="str">
        <f>COMPOSITTIONS!S2</f>
        <v>MELANGE ZONES SECHES</v>
      </c>
      <c r="C22" s="214"/>
      <c r="D22" s="93">
        <v>45</v>
      </c>
      <c r="E22" s="214" t="str">
        <f>COMPOSITTIONS!C24</f>
        <v>Melilot</v>
      </c>
      <c r="F22" s="214"/>
      <c r="G22" s="93">
        <v>74</v>
      </c>
      <c r="H22" s="224" t="str">
        <f>COMPOSITTIONS!C53</f>
        <v>Trèfle blanc ladino</v>
      </c>
      <c r="I22" s="224"/>
      <c r="L22" s="94"/>
      <c r="M22" s="95"/>
      <c r="N22" s="94"/>
    </row>
    <row r="23" spans="1:14" ht="12.75" customHeight="1" x14ac:dyDescent="0.2">
      <c r="A23" s="79">
        <f>COMPOSITTIONS!T1</f>
        <v>17</v>
      </c>
      <c r="B23" s="214" t="str">
        <f>COMPOSITTIONS!T2</f>
        <v>MS ALFA 32</v>
      </c>
      <c r="C23" s="214"/>
      <c r="D23" s="93">
        <v>46</v>
      </c>
      <c r="E23" s="214" t="str">
        <f>COMPOSITTIONS!C25</f>
        <v>Minette</v>
      </c>
      <c r="F23" s="214"/>
      <c r="G23" s="93">
        <v>75</v>
      </c>
      <c r="H23" s="224" t="str">
        <f>COMPOSITTIONS!C54</f>
        <v>Trèfle blanc nain</v>
      </c>
      <c r="I23" s="224"/>
      <c r="L23" s="94"/>
      <c r="M23" s="95"/>
      <c r="N23" s="94"/>
    </row>
    <row r="24" spans="1:14" ht="12" customHeight="1" x14ac:dyDescent="0.2">
      <c r="A24" s="79">
        <f>COMPOSITTIONS!U1</f>
        <v>18</v>
      </c>
      <c r="B24" s="214" t="str">
        <f>COMPOSITTIONS!U2</f>
        <v>MS FAMOSA 40</v>
      </c>
      <c r="C24" s="214"/>
      <c r="D24" s="93">
        <v>47</v>
      </c>
      <c r="E24" s="214" t="str">
        <f>COMPOSITTIONS!C26</f>
        <v>Moha</v>
      </c>
      <c r="F24" s="214"/>
      <c r="G24" s="93">
        <v>76</v>
      </c>
      <c r="H24" s="224" t="str">
        <f>COMPOSITTIONS!C55</f>
        <v>Trèfle d'alexandrie</v>
      </c>
      <c r="I24" s="224"/>
      <c r="L24" s="94"/>
      <c r="M24" s="95"/>
      <c r="N24" s="94"/>
    </row>
    <row r="25" spans="1:14" x14ac:dyDescent="0.2">
      <c r="A25" s="79">
        <f>COMPOSITTIONS!V1</f>
        <v>19</v>
      </c>
      <c r="B25" s="214" t="str">
        <f>COMPOSITTIONS!V2</f>
        <v>MS FAMOSA 44 P</v>
      </c>
      <c r="C25" s="214"/>
      <c r="D25" s="93">
        <v>48</v>
      </c>
      <c r="E25" s="214" t="str">
        <f>COMPOSITTIONS!C27</f>
        <v>Moutarde blanche</v>
      </c>
      <c r="F25" s="214"/>
      <c r="G25" s="93">
        <v>77</v>
      </c>
      <c r="H25" s="224" t="str">
        <f>COMPOSITTIONS!C56</f>
        <v>Trèfle de micheli</v>
      </c>
      <c r="I25" s="224"/>
      <c r="L25" s="94"/>
      <c r="M25" s="95"/>
      <c r="N25" s="94"/>
    </row>
    <row r="26" spans="1:14" x14ac:dyDescent="0.2">
      <c r="A26" s="79">
        <f>COMPOSITTIONS!W1</f>
        <v>20</v>
      </c>
      <c r="B26" s="214" t="str">
        <f>COMPOSITTIONS!W2</f>
        <v>MS FAMOSA 45</v>
      </c>
      <c r="C26" s="214"/>
      <c r="D26" s="93">
        <v>49</v>
      </c>
      <c r="E26" s="214" t="str">
        <f>COMPOSITTIONS!C28</f>
        <v>Navette Fourragére</v>
      </c>
      <c r="F26" s="214"/>
      <c r="G26" s="93">
        <v>78</v>
      </c>
      <c r="H26" s="224" t="str">
        <f>COMPOSITTIONS!C57</f>
        <v>Trèfle de perse</v>
      </c>
      <c r="I26" s="224"/>
      <c r="L26" s="94"/>
      <c r="M26" s="95"/>
      <c r="N26" s="94"/>
    </row>
    <row r="27" spans="1:14" x14ac:dyDescent="0.2">
      <c r="A27" s="79">
        <f>COMPOSITTIONS!X1</f>
        <v>21</v>
      </c>
      <c r="B27" s="214" t="str">
        <f>COMPOSITTIONS!X2</f>
        <v>MS JURA 47</v>
      </c>
      <c r="C27" s="214"/>
      <c r="D27" s="93">
        <v>50</v>
      </c>
      <c r="E27" s="214" t="str">
        <f>COMPOSITTIONS!C29</f>
        <v>Nyger</v>
      </c>
      <c r="F27" s="214"/>
      <c r="G27" s="93">
        <v>79</v>
      </c>
      <c r="H27" s="224" t="str">
        <f>COMPOSITTIONS!C58</f>
        <v>Tréfle fléche</v>
      </c>
      <c r="I27" s="224"/>
      <c r="L27" s="94"/>
      <c r="M27" s="95"/>
      <c r="N27" s="94"/>
    </row>
    <row r="28" spans="1:14" x14ac:dyDescent="0.2">
      <c r="A28" s="79">
        <f>COMPOSITTIONS!Y1</f>
        <v>22</v>
      </c>
      <c r="B28" s="214" t="str">
        <f>COMPOSITTIONS!Y2</f>
        <v>MS MEDIA 20</v>
      </c>
      <c r="C28" s="214"/>
      <c r="D28" s="93">
        <v>51</v>
      </c>
      <c r="E28" s="214" t="str">
        <f>COMPOSITTIONS!C30</f>
        <v>Pâturin des prés</v>
      </c>
      <c r="F28" s="214"/>
      <c r="G28" s="93">
        <v>80</v>
      </c>
      <c r="H28" s="224" t="str">
        <f>COMPOSITTIONS!C59</f>
        <v>Trèfle hybride</v>
      </c>
      <c r="I28" s="224"/>
      <c r="L28" s="94"/>
      <c r="M28" s="95"/>
      <c r="N28" s="94"/>
    </row>
    <row r="29" spans="1:14" x14ac:dyDescent="0.2">
      <c r="A29" s="79">
        <f>COMPOSITTIONS!Z1</f>
        <v>23</v>
      </c>
      <c r="B29" s="214" t="str">
        <f>COMPOSITTIONS!Z2</f>
        <v>MS TARDA 33</v>
      </c>
      <c r="C29" s="214"/>
      <c r="D29" s="93">
        <v>52</v>
      </c>
      <c r="E29" s="214" t="str">
        <f>COMPOSITTIONS!C31</f>
        <v>Phacélie</v>
      </c>
      <c r="F29" s="214"/>
      <c r="G29" s="93">
        <v>81</v>
      </c>
      <c r="H29" s="224" t="str">
        <f>COMPOSITTIONS!C60</f>
        <v>Trèfle incarnat</v>
      </c>
      <c r="I29" s="224"/>
      <c r="L29" s="94"/>
      <c r="M29" s="95"/>
      <c r="N29" s="94"/>
    </row>
    <row r="30" spans="1:14" x14ac:dyDescent="0.2">
      <c r="A30" s="79">
        <f>COMPOSITTIONS!AA1</f>
        <v>24</v>
      </c>
      <c r="B30" s="214" t="str">
        <f>COMPOSITTIONS!AA2</f>
        <v>PROTEINE HERBE</v>
      </c>
      <c r="C30" s="214"/>
      <c r="D30" s="93">
        <v>53</v>
      </c>
      <c r="E30" s="214" t="str">
        <f>COMPOSITTIONS!C32</f>
        <v>Plantain</v>
      </c>
      <c r="F30" s="214"/>
      <c r="G30" s="93">
        <v>82</v>
      </c>
      <c r="H30" s="224" t="str">
        <f>COMPOSITTIONS!C61</f>
        <v>Trèfle squarosum</v>
      </c>
      <c r="I30" s="224"/>
      <c r="L30" s="94"/>
      <c r="M30" s="95"/>
      <c r="N30" s="94"/>
    </row>
    <row r="31" spans="1:14" x14ac:dyDescent="0.2">
      <c r="A31" s="93">
        <v>25</v>
      </c>
      <c r="B31" s="222" t="str">
        <f>COMPOSITTIONS!C4</f>
        <v>Avoine noire</v>
      </c>
      <c r="C31" s="223"/>
      <c r="D31" s="93">
        <v>54</v>
      </c>
      <c r="E31" s="214" t="str">
        <f>COMPOSITTIONS!C33</f>
        <v>Pois fourrager de printemps</v>
      </c>
      <c r="F31" s="214"/>
      <c r="G31" s="93">
        <v>83</v>
      </c>
      <c r="H31" s="224" t="str">
        <f>COMPOSITTIONS!C62</f>
        <v>Trèfle vésiculum</v>
      </c>
      <c r="I31" s="224"/>
      <c r="J31" s="75"/>
      <c r="K31" s="75"/>
      <c r="L31" s="96"/>
      <c r="M31" s="96"/>
      <c r="N31" s="96"/>
    </row>
    <row r="32" spans="1:14" x14ac:dyDescent="0.2">
      <c r="A32" s="93">
        <v>26</v>
      </c>
      <c r="B32" s="222" t="str">
        <f>COMPOSITTIONS!C5</f>
        <v>Avoine rude</v>
      </c>
      <c r="C32" s="223"/>
      <c r="D32" s="93">
        <v>55</v>
      </c>
      <c r="E32" s="214" t="str">
        <f>COMPOSITTIONS!C34</f>
        <v>Pois fourrager d'hiver</v>
      </c>
      <c r="F32" s="214"/>
      <c r="G32" s="93">
        <v>84</v>
      </c>
      <c r="H32" s="224" t="str">
        <f>COMPOSITTIONS!C63</f>
        <v>Trèfle violet 2n</v>
      </c>
      <c r="I32" s="224"/>
      <c r="J32" s="75"/>
      <c r="K32" s="75"/>
      <c r="L32" s="96"/>
      <c r="M32" s="96"/>
      <c r="N32" s="96"/>
    </row>
    <row r="33" spans="1:14" x14ac:dyDescent="0.2">
      <c r="A33" s="93">
        <v>27</v>
      </c>
      <c r="B33" s="222" t="str">
        <f>COMPOSITTIONS!C6</f>
        <v>Cameline</v>
      </c>
      <c r="C33" s="223"/>
      <c r="D33" s="93">
        <v>56</v>
      </c>
      <c r="E33" s="214" t="str">
        <f>COMPOSITTIONS!C35</f>
        <v>Radis chinois</v>
      </c>
      <c r="F33" s="214"/>
      <c r="G33" s="93">
        <v>85</v>
      </c>
      <c r="H33" s="224" t="str">
        <f>COMPOSITTIONS!C64</f>
        <v>Trèfle violet 4n</v>
      </c>
      <c r="I33" s="224"/>
      <c r="J33" s="75"/>
      <c r="K33" s="75"/>
      <c r="L33" s="96"/>
      <c r="M33" s="96"/>
      <c r="N33" s="96"/>
    </row>
    <row r="34" spans="1:14" x14ac:dyDescent="0.2">
      <c r="A34" s="93">
        <v>28</v>
      </c>
      <c r="B34" s="222" t="str">
        <f>COMPOSITTIONS!C7</f>
        <v>Chicorée</v>
      </c>
      <c r="C34" s="223"/>
      <c r="D34" s="93">
        <v>57</v>
      </c>
      <c r="E34" s="214" t="str">
        <f>COMPOSITTIONS!C36</f>
        <v>Radis fourrager</v>
      </c>
      <c r="F34" s="214"/>
      <c r="G34" s="93">
        <v>86</v>
      </c>
      <c r="H34" s="224" t="str">
        <f>COMPOSITTIONS!C65</f>
        <v>Vesce commune</v>
      </c>
      <c r="I34" s="224"/>
      <c r="J34" s="75"/>
      <c r="K34" s="75"/>
      <c r="L34" s="96"/>
      <c r="M34" s="96"/>
      <c r="N34" s="96"/>
    </row>
    <row r="35" spans="1:14" x14ac:dyDescent="0.2">
      <c r="A35" s="93">
        <v>29</v>
      </c>
      <c r="B35" s="222" t="str">
        <f>COMPOSITTIONS!C8</f>
        <v>Colza fourrager</v>
      </c>
      <c r="C35" s="223"/>
      <c r="D35" s="93">
        <v>58</v>
      </c>
      <c r="E35" s="214" t="str">
        <f>COMPOSITTIONS!C37</f>
        <v>RGA 2n</v>
      </c>
      <c r="F35" s="214"/>
      <c r="G35" s="93">
        <v>87</v>
      </c>
      <c r="H35" s="224" t="str">
        <f>COMPOSITTIONS!C66</f>
        <v>Vesce velue</v>
      </c>
      <c r="I35" s="224"/>
      <c r="J35" s="75"/>
      <c r="K35" s="75"/>
    </row>
    <row r="36" spans="1:14" s="107" customFormat="1" ht="47.25" customHeight="1" thickBot="1" x14ac:dyDescent="0.3">
      <c r="A36" s="92"/>
      <c r="B36" s="106"/>
      <c r="C36" s="106"/>
      <c r="D36" s="92"/>
      <c r="E36" s="106"/>
      <c r="F36" s="106"/>
      <c r="G36" s="83"/>
      <c r="H36" s="83"/>
      <c r="I36" s="98">
        <f ca="1">TODAY()</f>
        <v>43355</v>
      </c>
      <c r="J36" s="83"/>
      <c r="K36" s="83"/>
    </row>
    <row r="37" spans="1:14" s="108" customFormat="1" ht="21.75" thickBot="1" x14ac:dyDescent="0.3">
      <c r="A37" s="193" t="s">
        <v>100</v>
      </c>
      <c r="B37" s="138"/>
      <c r="C37" s="138"/>
      <c r="D37" s="232"/>
      <c r="E37" s="233"/>
      <c r="F37" s="233"/>
      <c r="G37" s="233"/>
      <c r="H37" s="233"/>
      <c r="I37" s="233"/>
      <c r="J37" s="233"/>
      <c r="K37" s="234"/>
      <c r="N37" s="99"/>
    </row>
    <row r="38" spans="1:14" s="108" customFormat="1" ht="12" customHeight="1" thickBot="1" x14ac:dyDescent="0.3">
      <c r="A38" s="99"/>
      <c r="B38" s="99"/>
      <c r="D38" s="36"/>
      <c r="E38" s="36"/>
      <c r="F38" s="36"/>
      <c r="G38" s="36"/>
      <c r="H38" s="36"/>
      <c r="I38" s="36"/>
      <c r="J38" s="36"/>
      <c r="K38" s="36"/>
    </row>
    <row r="39" spans="1:14" s="108" customFormat="1" ht="22.5" customHeight="1" x14ac:dyDescent="0.25">
      <c r="A39" s="83"/>
      <c r="B39" s="82"/>
      <c r="C39" s="176" t="s">
        <v>107</v>
      </c>
      <c r="D39" s="177">
        <v>9</v>
      </c>
      <c r="E39" s="229" t="str">
        <f>CACHER!F3</f>
        <v>MELANGE FOIN DAUPHINE SAVOY</v>
      </c>
      <c r="F39" s="230"/>
      <c r="G39" s="231"/>
      <c r="H39" s="178">
        <v>5</v>
      </c>
      <c r="I39" s="179" t="s">
        <v>57</v>
      </c>
      <c r="J39" s="82"/>
      <c r="K39" s="82"/>
    </row>
    <row r="40" spans="1:14" s="108" customFormat="1" ht="22.5" customHeight="1" thickBot="1" x14ac:dyDescent="0.3">
      <c r="A40" s="83"/>
      <c r="B40" s="82"/>
      <c r="C40" s="183" t="s">
        <v>108</v>
      </c>
      <c r="D40" s="187">
        <v>3</v>
      </c>
      <c r="E40" s="219" t="str">
        <f>CACHER!F4</f>
        <v/>
      </c>
      <c r="F40" s="220"/>
      <c r="G40" s="221"/>
      <c r="H40" s="188">
        <v>3</v>
      </c>
      <c r="I40" s="189" t="s">
        <v>57</v>
      </c>
      <c r="J40" s="82"/>
      <c r="K40" s="82"/>
    </row>
    <row r="41" spans="1:14" s="108" customFormat="1" ht="13.5" thickBot="1" x14ac:dyDescent="0.3">
      <c r="A41" s="83"/>
      <c r="B41" s="82"/>
      <c r="C41" s="180" t="s">
        <v>70</v>
      </c>
      <c r="D41" s="175"/>
      <c r="E41" s="175"/>
      <c r="F41" s="175"/>
      <c r="G41" s="175"/>
      <c r="H41" s="175"/>
      <c r="I41" s="181"/>
      <c r="J41" s="80"/>
      <c r="K41" s="80"/>
    </row>
    <row r="42" spans="1:14" s="108" customFormat="1" x14ac:dyDescent="0.25">
      <c r="A42" s="83"/>
      <c r="B42" s="82"/>
      <c r="C42" s="176" t="s">
        <v>77</v>
      </c>
      <c r="D42" s="190">
        <v>25</v>
      </c>
      <c r="E42" s="229" t="str">
        <f>CACHER!F6</f>
        <v/>
      </c>
      <c r="F42" s="230"/>
      <c r="G42" s="231"/>
      <c r="H42" s="191">
        <v>15</v>
      </c>
      <c r="I42" s="192" t="s">
        <v>57</v>
      </c>
      <c r="J42" s="82"/>
      <c r="K42" s="82"/>
    </row>
    <row r="43" spans="1:14" s="108" customFormat="1" ht="15" x14ac:dyDescent="0.2">
      <c r="A43" s="83"/>
      <c r="B43" s="82"/>
      <c r="C43" s="180" t="s">
        <v>78</v>
      </c>
      <c r="D43" s="307" t="str">
        <f>IF($F$3="","",IFERROR(HLOOKUP($F$3,COMPOSITTIONS!$D$2:$AA$66,3,FALSE),""))</f>
        <v/>
      </c>
      <c r="E43" s="215" t="str">
        <f>CACHER!F7</f>
        <v/>
      </c>
      <c r="F43" s="218"/>
      <c r="G43" s="216"/>
      <c r="H43" s="118">
        <v>10</v>
      </c>
      <c r="I43" s="182" t="s">
        <v>57</v>
      </c>
      <c r="J43" s="82"/>
      <c r="K43" s="82"/>
    </row>
    <row r="44" spans="1:14" s="108" customFormat="1" x14ac:dyDescent="0.25">
      <c r="A44" s="83"/>
      <c r="B44" s="82"/>
      <c r="C44" s="180" t="s">
        <v>79</v>
      </c>
      <c r="D44" s="117">
        <v>30</v>
      </c>
      <c r="E44" s="215" t="str">
        <f>CACHER!F8</f>
        <v/>
      </c>
      <c r="F44" s="218"/>
      <c r="G44" s="216"/>
      <c r="H44" s="118">
        <v>10</v>
      </c>
      <c r="I44" s="182" t="s">
        <v>57</v>
      </c>
      <c r="J44" s="82"/>
      <c r="K44" s="82"/>
    </row>
    <row r="45" spans="1:14" s="108" customFormat="1" x14ac:dyDescent="0.25">
      <c r="A45" s="83"/>
      <c r="B45" s="82"/>
      <c r="C45" s="180" t="s">
        <v>80</v>
      </c>
      <c r="D45" s="117">
        <v>30</v>
      </c>
      <c r="E45" s="215" t="str">
        <f>CACHER!F9</f>
        <v/>
      </c>
      <c r="F45" s="218"/>
      <c r="G45" s="216"/>
      <c r="H45" s="118">
        <v>10</v>
      </c>
      <c r="I45" s="182" t="s">
        <v>57</v>
      </c>
      <c r="J45" s="82"/>
      <c r="K45" s="82"/>
    </row>
    <row r="46" spans="1:14" s="108" customFormat="1" x14ac:dyDescent="0.25">
      <c r="A46" s="83"/>
      <c r="B46" s="82"/>
      <c r="C46" s="180" t="s">
        <v>81</v>
      </c>
      <c r="D46" s="117">
        <v>55</v>
      </c>
      <c r="E46" s="215" t="str">
        <f>CACHER!F10</f>
        <v/>
      </c>
      <c r="F46" s="218"/>
      <c r="G46" s="216"/>
      <c r="H46" s="118">
        <v>10</v>
      </c>
      <c r="I46" s="182" t="s">
        <v>57</v>
      </c>
      <c r="J46" s="82"/>
      <c r="K46" s="82"/>
    </row>
    <row r="47" spans="1:14" s="108" customFormat="1" ht="13.5" thickBot="1" x14ac:dyDescent="0.3">
      <c r="A47" s="83"/>
      <c r="B47" s="82"/>
      <c r="C47" s="183" t="s">
        <v>82</v>
      </c>
      <c r="D47" s="184">
        <v>30</v>
      </c>
      <c r="E47" s="219" t="str">
        <f>CACHER!F11</f>
        <v/>
      </c>
      <c r="F47" s="220"/>
      <c r="G47" s="221"/>
      <c r="H47" s="185">
        <v>10</v>
      </c>
      <c r="I47" s="186" t="s">
        <v>57</v>
      </c>
      <c r="J47" s="82"/>
      <c r="K47" s="82"/>
    </row>
    <row r="48" spans="1:14" s="108" customFormat="1" ht="13.5" thickBot="1" x14ac:dyDescent="0.3">
      <c r="A48" s="83"/>
      <c r="B48" s="83"/>
      <c r="C48" s="85"/>
      <c r="D48" s="86"/>
      <c r="E48" s="83"/>
      <c r="F48" s="83"/>
      <c r="G48" s="83"/>
      <c r="H48" s="83"/>
      <c r="I48" s="83"/>
      <c r="J48" s="83"/>
      <c r="K48" s="83"/>
    </row>
    <row r="49" spans="1:12" s="108" customFormat="1" ht="13.5" thickBot="1" x14ac:dyDescent="0.3">
      <c r="A49" s="140" t="s">
        <v>92</v>
      </c>
      <c r="B49" s="140"/>
      <c r="C49" s="141"/>
      <c r="D49" s="115" t="e">
        <f>CACHER!E13</f>
        <v>#VALUE!</v>
      </c>
      <c r="E49" s="227" t="s">
        <v>93</v>
      </c>
      <c r="F49" s="228"/>
      <c r="G49" s="84" t="s">
        <v>71</v>
      </c>
      <c r="H49" s="87">
        <f>CACHER!J13</f>
        <v>5</v>
      </c>
      <c r="I49" s="84" t="s">
        <v>57</v>
      </c>
      <c r="J49" s="82"/>
      <c r="K49" s="82"/>
    </row>
    <row r="50" spans="1:12" s="108" customFormat="1" x14ac:dyDescent="0.25">
      <c r="K50" s="82"/>
    </row>
    <row r="51" spans="1:12" s="108" customFormat="1" ht="23.25" customHeight="1" x14ac:dyDescent="0.25">
      <c r="C51" s="139" t="s">
        <v>101</v>
      </c>
      <c r="D51" s="139"/>
      <c r="E51" s="139"/>
      <c r="F51" s="139"/>
      <c r="G51" s="139"/>
      <c r="K51" s="82"/>
    </row>
    <row r="52" spans="1:12" s="108" customFormat="1" x14ac:dyDescent="0.25">
      <c r="A52" s="80"/>
      <c r="B52" s="80"/>
      <c r="C52" s="80"/>
      <c r="D52" s="80"/>
      <c r="E52" s="80"/>
      <c r="F52" s="80"/>
      <c r="G52" s="88" t="s">
        <v>104</v>
      </c>
      <c r="H52" s="88" t="s">
        <v>95</v>
      </c>
      <c r="I52" s="88" t="s">
        <v>94</v>
      </c>
      <c r="J52" s="102" t="s">
        <v>99</v>
      </c>
      <c r="K52" s="125"/>
      <c r="L52" s="112"/>
    </row>
    <row r="53" spans="1:12" s="126" customFormat="1" x14ac:dyDescent="0.25">
      <c r="A53" s="80"/>
      <c r="B53" s="80"/>
      <c r="C53" s="80"/>
      <c r="D53" s="120">
        <f>IF(D39="","",D39)</f>
        <v>9</v>
      </c>
      <c r="E53" s="217" t="str">
        <f>E39</f>
        <v>MELANGE FOIN DAUPHINE SAVOY</v>
      </c>
      <c r="F53" s="217"/>
      <c r="G53" s="123"/>
      <c r="H53" s="84">
        <f>IF(H39="","",H39)</f>
        <v>5</v>
      </c>
      <c r="I53" s="87"/>
      <c r="J53" s="87"/>
      <c r="K53" s="125"/>
      <c r="L53" s="133"/>
    </row>
    <row r="54" spans="1:12" s="108" customFormat="1" x14ac:dyDescent="0.25">
      <c r="A54" s="83"/>
      <c r="B54" s="82"/>
      <c r="C54" s="80" t="s">
        <v>67</v>
      </c>
      <c r="D54" s="120" t="str">
        <f>IF(D40="","",D40)</f>
        <v/>
      </c>
      <c r="E54" s="217" t="str">
        <f>E40</f>
        <v/>
      </c>
      <c r="F54" s="217"/>
      <c r="G54" s="123"/>
      <c r="H54" s="84" t="str">
        <f>IF(H40="","",H40)</f>
        <v/>
      </c>
      <c r="I54" s="91" t="str">
        <f>IF(H54="","",H54*(G54/1000))</f>
        <v/>
      </c>
      <c r="J54" s="109" t="str">
        <f>IF(I54="","",PRODUCT(I54,D63))</f>
        <v/>
      </c>
      <c r="K54" s="110"/>
    </row>
    <row r="55" spans="1:12" s="108" customFormat="1" x14ac:dyDescent="0.25">
      <c r="A55" s="83"/>
      <c r="B55" s="82"/>
      <c r="C55" s="80" t="s">
        <v>70</v>
      </c>
      <c r="D55" s="119"/>
      <c r="E55" s="82"/>
      <c r="F55" s="83"/>
      <c r="G55" s="103"/>
      <c r="H55" s="80"/>
      <c r="I55" s="104"/>
    </row>
    <row r="56" spans="1:12" s="108" customFormat="1" x14ac:dyDescent="0.25">
      <c r="A56" s="83"/>
      <c r="B56" s="82"/>
      <c r="C56" s="80" t="s">
        <v>77</v>
      </c>
      <c r="D56" s="120" t="str">
        <f t="shared" ref="D56:D61" si="0">IF(D42="","",D42)</f>
        <v/>
      </c>
      <c r="E56" s="215" t="str">
        <f>E42</f>
        <v/>
      </c>
      <c r="F56" s="216"/>
      <c r="G56" s="123"/>
      <c r="H56" s="81" t="str">
        <f t="shared" ref="H56:H61" si="1">IF(H42="","",H42)</f>
        <v/>
      </c>
      <c r="I56" s="89" t="str">
        <f>IF(H56="","",H56*(G56/1000))</f>
        <v/>
      </c>
      <c r="J56" s="91" t="str">
        <f>IF(I56="","",I56*$D$63)</f>
        <v/>
      </c>
    </row>
    <row r="57" spans="1:12" s="108" customFormat="1" x14ac:dyDescent="0.25">
      <c r="A57" s="83"/>
      <c r="B57" s="82"/>
      <c r="C57" s="80" t="s">
        <v>78</v>
      </c>
      <c r="D57" s="120" t="str">
        <f t="shared" si="0"/>
        <v/>
      </c>
      <c r="E57" s="215" t="str">
        <f>E43</f>
        <v/>
      </c>
      <c r="F57" s="216"/>
      <c r="G57" s="123"/>
      <c r="H57" s="81" t="str">
        <f t="shared" si="1"/>
        <v/>
      </c>
      <c r="I57" s="89" t="str">
        <f t="shared" ref="I57:I61" si="2">IF(H57="","",H57*(G57/1000))</f>
        <v/>
      </c>
      <c r="J57" s="91" t="str">
        <f t="shared" ref="J57:J61" si="3">IF(I57="","",I57*$D$63)</f>
        <v/>
      </c>
    </row>
    <row r="58" spans="1:12" s="108" customFormat="1" x14ac:dyDescent="0.25">
      <c r="A58" s="83"/>
      <c r="B58" s="82"/>
      <c r="C58" s="80" t="s">
        <v>79</v>
      </c>
      <c r="D58" s="120" t="str">
        <f t="shared" si="0"/>
        <v/>
      </c>
      <c r="E58" s="215" t="str">
        <f t="shared" ref="E58:E61" si="4">E44</f>
        <v/>
      </c>
      <c r="F58" s="216"/>
      <c r="G58" s="123"/>
      <c r="H58" s="81" t="str">
        <f t="shared" si="1"/>
        <v/>
      </c>
      <c r="I58" s="89" t="str">
        <f t="shared" si="2"/>
        <v/>
      </c>
      <c r="J58" s="91" t="str">
        <f t="shared" si="3"/>
        <v/>
      </c>
    </row>
    <row r="59" spans="1:12" s="108" customFormat="1" ht="13.5" customHeight="1" x14ac:dyDescent="0.25">
      <c r="A59" s="83"/>
      <c r="B59" s="82"/>
      <c r="C59" s="80" t="s">
        <v>80</v>
      </c>
      <c r="D59" s="120" t="str">
        <f t="shared" si="0"/>
        <v/>
      </c>
      <c r="E59" s="215" t="str">
        <f t="shared" si="4"/>
        <v/>
      </c>
      <c r="F59" s="216"/>
      <c r="G59" s="123"/>
      <c r="H59" s="81" t="str">
        <f t="shared" si="1"/>
        <v/>
      </c>
      <c r="I59" s="89" t="str">
        <f t="shared" si="2"/>
        <v/>
      </c>
      <c r="J59" s="91" t="str">
        <f t="shared" si="3"/>
        <v/>
      </c>
    </row>
    <row r="60" spans="1:12" s="108" customFormat="1" x14ac:dyDescent="0.25">
      <c r="A60" s="83"/>
      <c r="B60" s="82"/>
      <c r="C60" s="80" t="s">
        <v>81</v>
      </c>
      <c r="D60" s="120" t="str">
        <f t="shared" si="0"/>
        <v/>
      </c>
      <c r="E60" s="215" t="str">
        <f t="shared" si="4"/>
        <v/>
      </c>
      <c r="F60" s="216"/>
      <c r="G60" s="123"/>
      <c r="H60" s="81" t="str">
        <f t="shared" si="1"/>
        <v/>
      </c>
      <c r="I60" s="89" t="str">
        <f t="shared" si="2"/>
        <v/>
      </c>
      <c r="J60" s="91" t="str">
        <f t="shared" si="3"/>
        <v/>
      </c>
    </row>
    <row r="61" spans="1:12" s="108" customFormat="1" x14ac:dyDescent="0.25">
      <c r="A61" s="83"/>
      <c r="B61" s="82"/>
      <c r="C61" s="80" t="s">
        <v>82</v>
      </c>
      <c r="D61" s="120" t="str">
        <f t="shared" si="0"/>
        <v/>
      </c>
      <c r="E61" s="215" t="str">
        <f t="shared" si="4"/>
        <v/>
      </c>
      <c r="F61" s="216"/>
      <c r="G61" s="123"/>
      <c r="H61" s="81" t="str">
        <f t="shared" si="1"/>
        <v/>
      </c>
      <c r="I61" s="89" t="str">
        <f t="shared" si="2"/>
        <v/>
      </c>
      <c r="J61" s="91" t="str">
        <f t="shared" si="3"/>
        <v/>
      </c>
    </row>
    <row r="62" spans="1:12" s="108" customFormat="1" ht="13.5" thickBot="1" x14ac:dyDescent="0.3">
      <c r="A62" s="83"/>
      <c r="B62" s="83"/>
      <c r="C62" s="85"/>
      <c r="D62" s="86"/>
      <c r="E62" s="83"/>
      <c r="F62" s="83"/>
      <c r="G62" s="83"/>
      <c r="H62" s="83"/>
      <c r="I62" s="83"/>
      <c r="J62" s="83"/>
    </row>
    <row r="63" spans="1:12" s="108" customFormat="1" ht="13.5" thickBot="1" x14ac:dyDescent="0.3">
      <c r="A63" s="97"/>
      <c r="B63" s="97"/>
      <c r="C63" s="101" t="s">
        <v>97</v>
      </c>
      <c r="D63" s="121">
        <v>6</v>
      </c>
      <c r="E63" s="105" t="s">
        <v>98</v>
      </c>
      <c r="G63" s="84" t="s">
        <v>71</v>
      </c>
      <c r="H63" s="87">
        <f>SUM(H54,H56:H61)</f>
        <v>0</v>
      </c>
      <c r="I63" s="90">
        <f>SUM(I54,I56:I61)</f>
        <v>0</v>
      </c>
      <c r="J63" s="91">
        <f>SUM(J56:J61,J54)</f>
        <v>0</v>
      </c>
    </row>
    <row r="64" spans="1:12" s="108" customFormat="1" ht="8.25" customHeight="1" x14ac:dyDescent="0.25"/>
    <row r="65" spans="1:13" s="108" customFormat="1" ht="15.75" customHeight="1" thickBot="1" x14ac:dyDescent="0.3">
      <c r="A65" s="128" t="s">
        <v>96</v>
      </c>
      <c r="B65" s="128"/>
      <c r="C65" s="128"/>
    </row>
    <row r="66" spans="1:13" s="108" customFormat="1" ht="14.25" customHeight="1" x14ac:dyDescent="0.25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1"/>
    </row>
    <row r="67" spans="1:13" s="108" customFormat="1" x14ac:dyDescent="0.25">
      <c r="A67" s="132"/>
      <c r="B67" s="133"/>
      <c r="C67" s="133"/>
      <c r="D67" s="133"/>
      <c r="E67" s="133"/>
      <c r="F67" s="133"/>
      <c r="G67" s="133"/>
      <c r="H67" s="133"/>
      <c r="I67" s="133"/>
      <c r="J67" s="133"/>
      <c r="K67" s="134"/>
    </row>
    <row r="68" spans="1:13" s="108" customFormat="1" x14ac:dyDescent="0.25">
      <c r="A68" s="132"/>
      <c r="B68" s="133"/>
      <c r="C68" s="133"/>
      <c r="D68" s="133"/>
      <c r="E68" s="133"/>
      <c r="F68" s="133"/>
      <c r="G68" s="133"/>
      <c r="H68" s="133"/>
      <c r="I68" s="133"/>
      <c r="J68" s="133"/>
      <c r="K68" s="134"/>
    </row>
    <row r="69" spans="1:13" s="108" customFormat="1" ht="13.5" thickBot="1" x14ac:dyDescent="0.3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7"/>
    </row>
    <row r="70" spans="1:13" s="108" customFormat="1" x14ac:dyDescent="0.25">
      <c r="C70" s="116"/>
      <c r="D70" s="116"/>
      <c r="E70" s="236" t="s">
        <v>102</v>
      </c>
      <c r="F70" s="236"/>
      <c r="G70" s="236"/>
      <c r="H70" s="236"/>
      <c r="I70" s="236"/>
      <c r="J70" s="236"/>
      <c r="K70" s="236"/>
    </row>
    <row r="71" spans="1:13" s="108" customFormat="1" x14ac:dyDescent="0.25">
      <c r="C71" s="116"/>
      <c r="D71" s="116"/>
      <c r="E71" s="237"/>
      <c r="F71" s="237"/>
      <c r="G71" s="237"/>
      <c r="H71" s="237"/>
      <c r="I71" s="237"/>
      <c r="J71" s="237"/>
      <c r="K71" s="237"/>
    </row>
    <row r="72" spans="1:13" s="108" customFormat="1" x14ac:dyDescent="0.25">
      <c r="C72" s="116"/>
      <c r="D72" s="116"/>
      <c r="E72" s="237"/>
      <c r="F72" s="237"/>
      <c r="G72" s="237"/>
      <c r="H72" s="237"/>
      <c r="I72" s="237"/>
      <c r="J72" s="237"/>
      <c r="K72" s="237"/>
    </row>
    <row r="73" spans="1:13" s="108" customFormat="1" x14ac:dyDescent="0.25">
      <c r="C73" s="116"/>
      <c r="D73" s="116"/>
      <c r="E73" s="237"/>
      <c r="F73" s="237"/>
      <c r="G73" s="237"/>
      <c r="H73" s="237"/>
      <c r="I73" s="237"/>
      <c r="J73" s="237"/>
      <c r="K73" s="237"/>
    </row>
    <row r="74" spans="1:13" s="107" customFormat="1" ht="4.5" customHeight="1" x14ac:dyDescent="0.25"/>
    <row r="75" spans="1:13" s="107" customFormat="1" ht="31.5" customHeight="1" x14ac:dyDescent="0.25">
      <c r="A75" s="111"/>
      <c r="B75" s="111"/>
      <c r="C75" s="114" t="s">
        <v>12</v>
      </c>
      <c r="D75" s="238" t="s">
        <v>89</v>
      </c>
      <c r="E75" s="238"/>
      <c r="F75" s="238" t="s">
        <v>64</v>
      </c>
      <c r="G75" s="238"/>
      <c r="H75" s="238" t="s">
        <v>105</v>
      </c>
      <c r="I75" s="238"/>
      <c r="J75" s="46"/>
      <c r="K75" s="46"/>
      <c r="L75" s="94"/>
    </row>
    <row r="76" spans="1:13" s="107" customFormat="1" ht="15.75" customHeight="1" x14ac:dyDescent="0.25">
      <c r="A76" s="111"/>
      <c r="B76" s="111"/>
      <c r="C76" s="114"/>
      <c r="D76" s="238"/>
      <c r="E76" s="238"/>
      <c r="F76" s="247"/>
      <c r="G76" s="247"/>
      <c r="H76" s="235"/>
      <c r="I76" s="235"/>
      <c r="J76" s="46"/>
      <c r="K76" s="46"/>
      <c r="L76" s="95"/>
      <c r="M76" s="94"/>
    </row>
    <row r="77" spans="1:13" s="107" customFormat="1" ht="15.75" customHeight="1" x14ac:dyDescent="0.25">
      <c r="A77" s="127"/>
      <c r="B77" s="127"/>
      <c r="C77" s="114"/>
      <c r="D77" s="238"/>
      <c r="E77" s="238"/>
      <c r="F77" s="241"/>
      <c r="G77" s="241"/>
      <c r="H77" s="235"/>
      <c r="I77" s="235"/>
    </row>
    <row r="78" spans="1:13" s="107" customFormat="1" ht="15.75" customHeight="1" x14ac:dyDescent="0.25">
      <c r="A78" s="127"/>
      <c r="B78" s="127"/>
      <c r="C78" s="114"/>
      <c r="D78" s="238"/>
      <c r="E78" s="238"/>
      <c r="F78" s="241"/>
      <c r="G78" s="241"/>
      <c r="H78" s="235"/>
      <c r="I78" s="235"/>
    </row>
    <row r="79" spans="1:13" s="108" customFormat="1" ht="15.75" customHeight="1" x14ac:dyDescent="0.25">
      <c r="A79" s="126"/>
      <c r="B79" s="126"/>
      <c r="C79" s="114"/>
      <c r="D79" s="240"/>
      <c r="E79" s="240"/>
      <c r="F79" s="242"/>
      <c r="G79" s="242"/>
      <c r="H79" s="235"/>
      <c r="I79" s="235"/>
    </row>
    <row r="80" spans="1:13" s="108" customFormat="1" ht="15.75" customHeight="1" x14ac:dyDescent="0.25">
      <c r="A80" s="126"/>
      <c r="B80" s="126"/>
      <c r="C80" s="114"/>
      <c r="D80" s="240"/>
      <c r="E80" s="240"/>
      <c r="F80" s="242"/>
      <c r="G80" s="242"/>
      <c r="H80" s="235"/>
      <c r="I80" s="235"/>
    </row>
    <row r="81" spans="1:9" s="108" customFormat="1" ht="15.75" customHeight="1" x14ac:dyDescent="0.25">
      <c r="A81" s="126"/>
      <c r="B81" s="126"/>
      <c r="C81" s="114"/>
      <c r="D81" s="240"/>
      <c r="E81" s="240"/>
      <c r="F81" s="242"/>
      <c r="G81" s="242"/>
      <c r="H81" s="235"/>
      <c r="I81" s="235"/>
    </row>
    <row r="82" spans="1:9" s="108" customFormat="1" ht="15.75" customHeight="1" x14ac:dyDescent="0.25">
      <c r="A82" s="126"/>
      <c r="B82" s="126"/>
      <c r="C82" s="114"/>
      <c r="D82" s="240"/>
      <c r="E82" s="240"/>
      <c r="F82" s="242"/>
      <c r="G82" s="242"/>
      <c r="H82" s="235"/>
      <c r="I82" s="235"/>
    </row>
    <row r="83" spans="1:9" s="108" customFormat="1" ht="15.75" customHeight="1" x14ac:dyDescent="0.25">
      <c r="A83" s="126"/>
      <c r="B83" s="126"/>
      <c r="C83" s="114"/>
      <c r="D83" s="240"/>
      <c r="E83" s="240"/>
      <c r="F83" s="242"/>
      <c r="G83" s="242"/>
      <c r="H83" s="235"/>
      <c r="I83" s="235"/>
    </row>
    <row r="84" spans="1:9" s="108" customFormat="1" ht="15.75" customHeight="1" x14ac:dyDescent="0.25">
      <c r="A84" s="126"/>
      <c r="B84" s="126"/>
      <c r="C84" s="114"/>
      <c r="D84" s="240"/>
      <c r="E84" s="240"/>
      <c r="F84" s="242"/>
      <c r="G84" s="242"/>
      <c r="H84" s="235"/>
      <c r="I84" s="235"/>
    </row>
    <row r="85" spans="1:9" s="108" customFormat="1" ht="15.75" customHeight="1" x14ac:dyDescent="0.25">
      <c r="A85" s="126"/>
      <c r="B85" s="126"/>
      <c r="C85" s="114"/>
      <c r="D85" s="240"/>
      <c r="E85" s="240"/>
      <c r="F85" s="242"/>
      <c r="G85" s="242"/>
      <c r="H85" s="235"/>
      <c r="I85" s="235"/>
    </row>
    <row r="86" spans="1:9" s="108" customFormat="1" ht="15.75" customHeight="1" x14ac:dyDescent="0.25">
      <c r="A86" s="126"/>
      <c r="B86" s="126"/>
      <c r="C86" s="114"/>
      <c r="D86" s="240"/>
      <c r="E86" s="240"/>
      <c r="F86" s="242"/>
      <c r="G86" s="242"/>
      <c r="H86" s="235"/>
      <c r="I86" s="235"/>
    </row>
    <row r="87" spans="1:9" s="108" customFormat="1" ht="15.75" customHeight="1" x14ac:dyDescent="0.25">
      <c r="A87" s="126"/>
      <c r="B87" s="126"/>
      <c r="C87" s="114"/>
      <c r="D87" s="240"/>
      <c r="E87" s="240"/>
      <c r="F87" s="242"/>
      <c r="G87" s="242"/>
      <c r="H87" s="235"/>
      <c r="I87" s="235"/>
    </row>
    <row r="88" spans="1:9" s="108" customFormat="1" ht="15.75" customHeight="1" x14ac:dyDescent="0.25">
      <c r="A88" s="126"/>
      <c r="B88" s="126"/>
      <c r="C88" s="114"/>
      <c r="D88" s="240"/>
      <c r="E88" s="240"/>
      <c r="F88" s="242"/>
      <c r="G88" s="242"/>
      <c r="H88" s="235"/>
      <c r="I88" s="235"/>
    </row>
    <row r="89" spans="1:9" s="108" customFormat="1" ht="15.75" customHeight="1" x14ac:dyDescent="0.25">
      <c r="A89" s="126"/>
      <c r="B89" s="126"/>
      <c r="C89" s="114"/>
      <c r="D89" s="240"/>
      <c r="E89" s="240"/>
      <c r="F89" s="242"/>
      <c r="G89" s="242"/>
      <c r="H89" s="235"/>
      <c r="I89" s="235"/>
    </row>
    <row r="90" spans="1:9" s="108" customFormat="1" ht="15.75" customHeight="1" x14ac:dyDescent="0.25">
      <c r="C90" s="114"/>
      <c r="D90" s="240"/>
      <c r="E90" s="240"/>
      <c r="F90" s="242"/>
      <c r="G90" s="242"/>
      <c r="H90" s="235"/>
      <c r="I90" s="235"/>
    </row>
    <row r="91" spans="1:9" s="108" customFormat="1" ht="15.75" customHeight="1" x14ac:dyDescent="0.25">
      <c r="C91" s="114"/>
      <c r="D91" s="240"/>
      <c r="E91" s="240"/>
      <c r="F91" s="242"/>
      <c r="G91" s="242"/>
      <c r="H91" s="235"/>
      <c r="I91" s="235"/>
    </row>
    <row r="92" spans="1:9" s="108" customFormat="1" ht="15.75" customHeight="1" x14ac:dyDescent="0.25">
      <c r="C92" s="114"/>
      <c r="D92" s="240"/>
      <c r="E92" s="240"/>
      <c r="F92" s="242"/>
      <c r="G92" s="242"/>
      <c r="H92" s="235"/>
      <c r="I92" s="235"/>
    </row>
    <row r="93" spans="1:9" s="108" customFormat="1" ht="15.75" customHeight="1" x14ac:dyDescent="0.25">
      <c r="C93" s="114"/>
      <c r="D93" s="240"/>
      <c r="E93" s="240"/>
      <c r="F93" s="242"/>
      <c r="G93" s="242"/>
      <c r="H93" s="235"/>
      <c r="I93" s="235"/>
    </row>
    <row r="94" spans="1:9" s="108" customFormat="1" ht="15.75" customHeight="1" x14ac:dyDescent="0.25">
      <c r="C94" s="114"/>
      <c r="D94" s="240"/>
      <c r="E94" s="240"/>
      <c r="F94" s="242"/>
      <c r="G94" s="242"/>
      <c r="H94" s="235"/>
      <c r="I94" s="235"/>
    </row>
    <row r="95" spans="1:9" s="108" customFormat="1" ht="15.75" customHeight="1" x14ac:dyDescent="0.25">
      <c r="C95" s="114"/>
      <c r="D95" s="240"/>
      <c r="E95" s="240"/>
      <c r="F95" s="242"/>
      <c r="G95" s="242"/>
      <c r="H95" s="235"/>
      <c r="I95" s="235"/>
    </row>
    <row r="96" spans="1:9" s="108" customFormat="1" ht="15.75" customHeight="1" x14ac:dyDescent="0.25">
      <c r="C96" s="114"/>
      <c r="D96" s="240"/>
      <c r="E96" s="240"/>
      <c r="F96" s="242"/>
      <c r="G96" s="242"/>
      <c r="H96" s="235"/>
      <c r="I96" s="235"/>
    </row>
    <row r="97" spans="3:9" ht="15.75" customHeight="1" x14ac:dyDescent="0.2">
      <c r="C97" s="114"/>
      <c r="D97" s="243"/>
      <c r="E97" s="243"/>
      <c r="F97" s="244"/>
      <c r="G97" s="244"/>
      <c r="H97" s="235"/>
      <c r="I97" s="235"/>
    </row>
    <row r="98" spans="3:9" ht="15.75" customHeight="1" x14ac:dyDescent="0.2">
      <c r="C98" s="114"/>
      <c r="D98" s="243"/>
      <c r="E98" s="243"/>
      <c r="F98" s="244"/>
      <c r="G98" s="244"/>
      <c r="H98" s="235"/>
      <c r="I98" s="235"/>
    </row>
    <row r="99" spans="3:9" ht="15.75" customHeight="1" x14ac:dyDescent="0.2">
      <c r="C99" s="114"/>
      <c r="D99" s="243"/>
      <c r="E99" s="243"/>
      <c r="F99" s="244"/>
      <c r="G99" s="244"/>
      <c r="H99" s="235"/>
      <c r="I99" s="235"/>
    </row>
    <row r="100" spans="3:9" ht="15.75" customHeight="1" x14ac:dyDescent="0.2">
      <c r="C100" s="114"/>
      <c r="D100" s="243"/>
      <c r="E100" s="243"/>
      <c r="F100" s="244"/>
      <c r="G100" s="244"/>
      <c r="H100" s="235"/>
      <c r="I100" s="235"/>
    </row>
    <row r="101" spans="3:9" ht="15.75" customHeight="1" x14ac:dyDescent="0.2">
      <c r="C101" s="114"/>
      <c r="D101" s="243"/>
      <c r="E101" s="243"/>
      <c r="F101" s="244"/>
      <c r="G101" s="244"/>
      <c r="H101" s="235"/>
      <c r="I101" s="235"/>
    </row>
    <row r="102" spans="3:9" ht="15.75" customHeight="1" x14ac:dyDescent="0.2">
      <c r="C102" s="111"/>
      <c r="H102" s="113" t="e">
        <f>CACHER!I43</f>
        <v>#VALUE!</v>
      </c>
    </row>
    <row r="103" spans="3:9" ht="15.75" customHeight="1" x14ac:dyDescent="0.2">
      <c r="C103" s="111"/>
      <c r="H103" s="113" t="e">
        <f>CACHER!I44</f>
        <v>#VALUE!</v>
      </c>
    </row>
    <row r="104" spans="3:9" ht="15.75" customHeight="1" x14ac:dyDescent="0.2">
      <c r="C104" s="111"/>
      <c r="H104" s="113" t="e">
        <f>CACHER!I45</f>
        <v>#VALUE!</v>
      </c>
    </row>
    <row r="105" spans="3:9" ht="15.75" customHeight="1" x14ac:dyDescent="0.2">
      <c r="C105" s="111"/>
      <c r="H105" s="113" t="e">
        <f>CACHER!I46</f>
        <v>#VALUE!</v>
      </c>
    </row>
    <row r="106" spans="3:9" ht="15.75" customHeight="1" x14ac:dyDescent="0.2">
      <c r="C106" s="111"/>
    </row>
    <row r="107" spans="3:9" ht="15.75" customHeight="1" x14ac:dyDescent="0.2">
      <c r="C107" s="111"/>
    </row>
    <row r="108" spans="3:9" ht="15.75" customHeight="1" x14ac:dyDescent="0.2">
      <c r="C108" s="111"/>
    </row>
    <row r="109" spans="3:9" ht="15.75" customHeight="1" x14ac:dyDescent="0.2">
      <c r="C109" s="111"/>
    </row>
    <row r="110" spans="3:9" ht="15.75" customHeight="1" x14ac:dyDescent="0.2">
      <c r="C110" s="111"/>
    </row>
    <row r="111" spans="3:9" ht="15.75" customHeight="1" x14ac:dyDescent="0.2">
      <c r="C111" s="111"/>
    </row>
    <row r="112" spans="3:9" ht="15.75" customHeight="1" x14ac:dyDescent="0.2">
      <c r="C112" s="111"/>
    </row>
    <row r="113" spans="3:3" ht="15.75" customHeight="1" x14ac:dyDescent="0.2">
      <c r="C113" s="111"/>
    </row>
    <row r="114" spans="3:3" ht="15.75" customHeight="1" x14ac:dyDescent="0.2">
      <c r="C114" s="111"/>
    </row>
    <row r="115" spans="3:3" ht="15.75" customHeight="1" x14ac:dyDescent="0.2">
      <c r="C115" s="111"/>
    </row>
    <row r="116" spans="3:3" ht="15.75" customHeight="1" x14ac:dyDescent="0.2">
      <c r="C116" s="111"/>
    </row>
    <row r="117" spans="3:3" ht="15.75" customHeight="1" x14ac:dyDescent="0.2">
      <c r="C117" s="111"/>
    </row>
    <row r="118" spans="3:3" ht="15.75" customHeight="1" x14ac:dyDescent="0.2">
      <c r="C118" s="111"/>
    </row>
    <row r="119" spans="3:3" ht="15.75" customHeight="1" x14ac:dyDescent="0.2">
      <c r="C119" s="111"/>
    </row>
    <row r="120" spans="3:3" ht="15.75" customHeight="1" x14ac:dyDescent="0.2">
      <c r="C120" s="111"/>
    </row>
    <row r="121" spans="3:3" ht="15.75" customHeight="1" x14ac:dyDescent="0.2">
      <c r="C121" s="111"/>
    </row>
    <row r="122" spans="3:3" ht="15.75" customHeight="1" x14ac:dyDescent="0.2">
      <c r="C122" s="111"/>
    </row>
    <row r="123" spans="3:3" ht="15.75" customHeight="1" x14ac:dyDescent="0.2">
      <c r="C123" s="111"/>
    </row>
    <row r="124" spans="3:3" ht="15.75" customHeight="1" x14ac:dyDescent="0.2">
      <c r="C124" s="111"/>
    </row>
    <row r="125" spans="3:3" ht="15.75" customHeight="1" x14ac:dyDescent="0.2">
      <c r="C125" s="111"/>
    </row>
    <row r="126" spans="3:3" ht="15.75" customHeight="1" x14ac:dyDescent="0.2">
      <c r="C126" s="111"/>
    </row>
    <row r="127" spans="3:3" ht="15.75" customHeight="1" x14ac:dyDescent="0.2">
      <c r="C127" s="111"/>
    </row>
    <row r="128" spans="3:3" ht="15.75" customHeight="1" x14ac:dyDescent="0.2">
      <c r="C128" s="111"/>
    </row>
    <row r="129" spans="3:5" ht="15.75" customHeight="1" x14ac:dyDescent="0.2">
      <c r="C129" s="111"/>
    </row>
    <row r="130" spans="3:5" ht="15.75" customHeight="1" x14ac:dyDescent="0.2">
      <c r="C130" s="111"/>
    </row>
    <row r="131" spans="3:5" ht="15.75" customHeight="1" x14ac:dyDescent="0.2">
      <c r="C131" s="111"/>
      <c r="D131" s="239"/>
      <c r="E131" s="239"/>
    </row>
    <row r="132" spans="3:5" ht="15.75" customHeight="1" x14ac:dyDescent="0.2">
      <c r="C132" s="111"/>
    </row>
    <row r="133" spans="3:5" ht="15.75" customHeight="1" x14ac:dyDescent="0.2">
      <c r="C133" s="111"/>
    </row>
    <row r="134" spans="3:5" ht="15" x14ac:dyDescent="0.2">
      <c r="C134" s="111"/>
    </row>
    <row r="135" spans="3:5" ht="15" x14ac:dyDescent="0.2">
      <c r="C135" s="111"/>
    </row>
    <row r="136" spans="3:5" ht="15" x14ac:dyDescent="0.2">
      <c r="C136" s="111"/>
    </row>
    <row r="137" spans="3:5" ht="15" x14ac:dyDescent="0.2">
      <c r="C137" s="111"/>
    </row>
    <row r="138" spans="3:5" ht="15" x14ac:dyDescent="0.2">
      <c r="C138" s="111"/>
    </row>
    <row r="139" spans="3:5" ht="15" x14ac:dyDescent="0.2">
      <c r="C139" s="111"/>
    </row>
    <row r="140" spans="3:5" ht="15" x14ac:dyDescent="0.2">
      <c r="C140" s="111"/>
    </row>
  </sheetData>
  <mergeCells count="190">
    <mergeCell ref="H34:I34"/>
    <mergeCell ref="E34:F34"/>
    <mergeCell ref="E53:F53"/>
    <mergeCell ref="A4:K4"/>
    <mergeCell ref="E40:G40"/>
    <mergeCell ref="H94:I94"/>
    <mergeCell ref="H95:I95"/>
    <mergeCell ref="H96:I96"/>
    <mergeCell ref="H97:I97"/>
    <mergeCell ref="H80:I80"/>
    <mergeCell ref="H81:I81"/>
    <mergeCell ref="H82:I82"/>
    <mergeCell ref="H83:I83"/>
    <mergeCell ref="H84:I84"/>
    <mergeCell ref="H85:I85"/>
    <mergeCell ref="F83:G83"/>
    <mergeCell ref="F84:G84"/>
    <mergeCell ref="D77:E77"/>
    <mergeCell ref="D76:E76"/>
    <mergeCell ref="D75:E75"/>
    <mergeCell ref="D78:E78"/>
    <mergeCell ref="F76:G76"/>
    <mergeCell ref="F77:G77"/>
    <mergeCell ref="F85:G85"/>
    <mergeCell ref="H98:I98"/>
    <mergeCell ref="H99:I99"/>
    <mergeCell ref="F96:G96"/>
    <mergeCell ref="F97:G97"/>
    <mergeCell ref="F98:G98"/>
    <mergeCell ref="F99:G99"/>
    <mergeCell ref="D87:E87"/>
    <mergeCell ref="D86:E86"/>
    <mergeCell ref="D88:E88"/>
    <mergeCell ref="F86:G86"/>
    <mergeCell ref="F87:G87"/>
    <mergeCell ref="F88:G88"/>
    <mergeCell ref="D91:E91"/>
    <mergeCell ref="D90:E90"/>
    <mergeCell ref="H86:I86"/>
    <mergeCell ref="H87:I87"/>
    <mergeCell ref="H88:I88"/>
    <mergeCell ref="H89:I89"/>
    <mergeCell ref="H90:I90"/>
    <mergeCell ref="H91:I91"/>
    <mergeCell ref="D100:E100"/>
    <mergeCell ref="D101:E101"/>
    <mergeCell ref="F101:G101"/>
    <mergeCell ref="F89:G89"/>
    <mergeCell ref="F90:G90"/>
    <mergeCell ref="F91:G91"/>
    <mergeCell ref="F92:G92"/>
    <mergeCell ref="F93:G93"/>
    <mergeCell ref="F94:G94"/>
    <mergeCell ref="F95:G95"/>
    <mergeCell ref="D94:E94"/>
    <mergeCell ref="D95:E95"/>
    <mergeCell ref="D96:E96"/>
    <mergeCell ref="D97:E97"/>
    <mergeCell ref="D98:E98"/>
    <mergeCell ref="D99:E99"/>
    <mergeCell ref="D89:E89"/>
    <mergeCell ref="D93:E93"/>
    <mergeCell ref="D92:E92"/>
    <mergeCell ref="F100:G100"/>
    <mergeCell ref="H101:I101"/>
    <mergeCell ref="H100:I100"/>
    <mergeCell ref="H92:I92"/>
    <mergeCell ref="H93:I93"/>
    <mergeCell ref="E70:K73"/>
    <mergeCell ref="H75:I75"/>
    <mergeCell ref="F75:G75"/>
    <mergeCell ref="D131:E131"/>
    <mergeCell ref="D79:E79"/>
    <mergeCell ref="D80:E80"/>
    <mergeCell ref="D81:E81"/>
    <mergeCell ref="D82:E82"/>
    <mergeCell ref="D83:E83"/>
    <mergeCell ref="D84:E84"/>
    <mergeCell ref="D85:E85"/>
    <mergeCell ref="F78:G78"/>
    <mergeCell ref="F79:G79"/>
    <mergeCell ref="H76:I76"/>
    <mergeCell ref="H77:I77"/>
    <mergeCell ref="H78:I78"/>
    <mergeCell ref="H79:I79"/>
    <mergeCell ref="F80:G80"/>
    <mergeCell ref="F81:G81"/>
    <mergeCell ref="F82:G82"/>
    <mergeCell ref="A5:K5"/>
    <mergeCell ref="E49:F49"/>
    <mergeCell ref="E39:G39"/>
    <mergeCell ref="E42:G42"/>
    <mergeCell ref="E43:G43"/>
    <mergeCell ref="E44:G44"/>
    <mergeCell ref="E46:G46"/>
    <mergeCell ref="H32:I32"/>
    <mergeCell ref="H33:I33"/>
    <mergeCell ref="H35:I35"/>
    <mergeCell ref="D37:K37"/>
    <mergeCell ref="E19:F19"/>
    <mergeCell ref="E20:F20"/>
    <mergeCell ref="E21:F21"/>
    <mergeCell ref="E22:F22"/>
    <mergeCell ref="E23:F23"/>
    <mergeCell ref="H29:I29"/>
    <mergeCell ref="H30:I30"/>
    <mergeCell ref="H22:I22"/>
    <mergeCell ref="H23:I23"/>
    <mergeCell ref="H25:I25"/>
    <mergeCell ref="H12:I12"/>
    <mergeCell ref="H13:I13"/>
    <mergeCell ref="H14:I14"/>
    <mergeCell ref="E28:F28"/>
    <mergeCell ref="H10:I10"/>
    <mergeCell ref="H11:I11"/>
    <mergeCell ref="H15:I15"/>
    <mergeCell ref="E29:F29"/>
    <mergeCell ref="E30:F30"/>
    <mergeCell ref="E31:F31"/>
    <mergeCell ref="H26:I26"/>
    <mergeCell ref="H27:I27"/>
    <mergeCell ref="H28:I28"/>
    <mergeCell ref="H16:I16"/>
    <mergeCell ref="H17:I17"/>
    <mergeCell ref="H18:I18"/>
    <mergeCell ref="H19:I19"/>
    <mergeCell ref="H20:I20"/>
    <mergeCell ref="H21:I21"/>
    <mergeCell ref="E24:F24"/>
    <mergeCell ref="H24:I24"/>
    <mergeCell ref="E17:F17"/>
    <mergeCell ref="B34:C34"/>
    <mergeCell ref="B33:C33"/>
    <mergeCell ref="B35:C35"/>
    <mergeCell ref="H9:I9"/>
    <mergeCell ref="H8:I8"/>
    <mergeCell ref="H7:I7"/>
    <mergeCell ref="E32:F32"/>
    <mergeCell ref="E33:F33"/>
    <mergeCell ref="E35:F35"/>
    <mergeCell ref="H31:I31"/>
    <mergeCell ref="E12:F12"/>
    <mergeCell ref="E13:F13"/>
    <mergeCell ref="E14:F14"/>
    <mergeCell ref="E15:F15"/>
    <mergeCell ref="E16:F16"/>
    <mergeCell ref="E18:F18"/>
    <mergeCell ref="E7:F7"/>
    <mergeCell ref="E8:F8"/>
    <mergeCell ref="E9:F9"/>
    <mergeCell ref="E10:F10"/>
    <mergeCell ref="E11:F11"/>
    <mergeCell ref="E25:F25"/>
    <mergeCell ref="E26:F26"/>
    <mergeCell ref="E27:F27"/>
    <mergeCell ref="B7:C7"/>
    <mergeCell ref="B17:C17"/>
    <mergeCell ref="B8:C8"/>
    <mergeCell ref="B12:C12"/>
    <mergeCell ref="B18:C18"/>
    <mergeCell ref="E61:F61"/>
    <mergeCell ref="B23:C23"/>
    <mergeCell ref="B24:C24"/>
    <mergeCell ref="B25:C25"/>
    <mergeCell ref="B26:C26"/>
    <mergeCell ref="B27:C27"/>
    <mergeCell ref="B28:C28"/>
    <mergeCell ref="B29:C29"/>
    <mergeCell ref="B30:C30"/>
    <mergeCell ref="E54:F54"/>
    <mergeCell ref="E56:F56"/>
    <mergeCell ref="E57:F57"/>
    <mergeCell ref="E58:F58"/>
    <mergeCell ref="E59:F59"/>
    <mergeCell ref="E60:F60"/>
    <mergeCell ref="E45:G45"/>
    <mergeCell ref="E47:G47"/>
    <mergeCell ref="B31:C31"/>
    <mergeCell ref="B32:C32"/>
    <mergeCell ref="B22:C22"/>
    <mergeCell ref="B11:C11"/>
    <mergeCell ref="B15:C15"/>
    <mergeCell ref="B21:C21"/>
    <mergeCell ref="B16:C16"/>
    <mergeCell ref="B9:C9"/>
    <mergeCell ref="B13:C13"/>
    <mergeCell ref="B19:C19"/>
    <mergeCell ref="B10:C10"/>
    <mergeCell ref="B14:C14"/>
    <mergeCell ref="B20:C20"/>
  </mergeCells>
  <conditionalFormatting sqref="D49">
    <cfRule type="cellIs" dxfId="1" priority="1" operator="greaterThan">
      <formula>0.5</formula>
    </cfRule>
  </conditionalFormatting>
  <dataValidations count="1">
    <dataValidation type="whole" showInputMessage="1" showErrorMessage="1" sqref="D39:D40 D53:D54">
      <formula1>1</formula1>
      <formula2>100</formula2>
    </dataValidation>
  </dataValidations>
  <pageMargins left="0.7" right="0.7" top="0.75" bottom="0.75" header="0.3" footer="0.3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G77"/>
  <sheetViews>
    <sheetView workbookViewId="0">
      <selection activeCell="H2" sqref="H2"/>
    </sheetView>
  </sheetViews>
  <sheetFormatPr baseColWidth="10" defaultColWidth="4.140625" defaultRowHeight="15" x14ac:dyDescent="0.25"/>
  <cols>
    <col min="1" max="1" width="4.140625" style="1"/>
    <col min="2" max="2" width="5.42578125" style="1" bestFit="1" customWidth="1"/>
    <col min="3" max="3" width="21.85546875" style="1" bestFit="1" customWidth="1"/>
    <col min="4" max="27" width="4.140625" style="5"/>
    <col min="28" max="30" width="4.140625" style="1"/>
    <col min="31" max="31" width="5.5703125" style="1" customWidth="1"/>
    <col min="32" max="32" width="31.7109375" style="1" customWidth="1"/>
    <col min="33" max="16384" width="4.140625" style="1"/>
  </cols>
  <sheetData>
    <row r="1" spans="1:2763" x14ac:dyDescent="0.25">
      <c r="C1" s="145"/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9">
        <v>13</v>
      </c>
      <c r="Q1" s="9">
        <v>14</v>
      </c>
      <c r="R1" s="9">
        <v>15</v>
      </c>
      <c r="S1" s="9">
        <v>16</v>
      </c>
      <c r="T1" s="9">
        <v>17</v>
      </c>
      <c r="U1" s="9">
        <v>18</v>
      </c>
      <c r="V1" s="9">
        <v>19</v>
      </c>
      <c r="W1" s="9">
        <v>20</v>
      </c>
      <c r="X1" s="9">
        <v>21</v>
      </c>
      <c r="Y1" s="9">
        <v>22</v>
      </c>
      <c r="Z1" s="9">
        <v>23</v>
      </c>
      <c r="AA1" s="9">
        <v>24</v>
      </c>
    </row>
    <row r="2" spans="1:2763" s="2" customFormat="1" ht="247.5" customHeight="1" x14ac:dyDescent="0.25">
      <c r="A2"/>
      <c r="B2" s="25" t="s">
        <v>11</v>
      </c>
      <c r="C2" s="149" t="s">
        <v>12</v>
      </c>
      <c r="D2" s="146" t="s">
        <v>74</v>
      </c>
      <c r="E2" s="146" t="s">
        <v>73</v>
      </c>
      <c r="F2" s="164" t="s">
        <v>125</v>
      </c>
      <c r="G2" s="170" t="s">
        <v>126</v>
      </c>
      <c r="H2" s="155" t="s">
        <v>72</v>
      </c>
      <c r="I2" s="155" t="s">
        <v>76</v>
      </c>
      <c r="J2" s="155" t="s">
        <v>117</v>
      </c>
      <c r="K2" s="155" t="s">
        <v>116</v>
      </c>
      <c r="L2" s="156" t="s">
        <v>2</v>
      </c>
      <c r="M2" s="155" t="s">
        <v>113</v>
      </c>
      <c r="N2" s="146" t="s">
        <v>0</v>
      </c>
      <c r="O2" s="146" t="s">
        <v>114</v>
      </c>
      <c r="P2" s="157" t="s">
        <v>115</v>
      </c>
      <c r="Q2" s="156" t="s">
        <v>1</v>
      </c>
      <c r="R2" s="156" t="s">
        <v>3</v>
      </c>
      <c r="S2" s="156" t="s">
        <v>4</v>
      </c>
      <c r="T2" s="155" t="s">
        <v>75</v>
      </c>
      <c r="U2" s="165" t="s">
        <v>85</v>
      </c>
      <c r="V2" s="155" t="s">
        <v>5</v>
      </c>
      <c r="W2" s="155" t="s">
        <v>6</v>
      </c>
      <c r="X2" s="155" t="s">
        <v>86</v>
      </c>
      <c r="Y2" s="155" t="s">
        <v>87</v>
      </c>
      <c r="Z2" s="155" t="s">
        <v>88</v>
      </c>
      <c r="AA2" s="146" t="s">
        <v>112</v>
      </c>
      <c r="AB2" s="148"/>
      <c r="AC2" s="147"/>
      <c r="AD2" s="1"/>
      <c r="AE2" s="11"/>
      <c r="AF2" s="1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</row>
    <row r="3" spans="1:2763" x14ac:dyDescent="0.25">
      <c r="A3"/>
      <c r="B3" s="26"/>
      <c r="C3" s="150"/>
      <c r="D3" s="9">
        <f t="shared" ref="D3:AA3" si="0">SUM(D4:D69)</f>
        <v>100</v>
      </c>
      <c r="E3" s="9">
        <f t="shared" si="0"/>
        <v>100</v>
      </c>
      <c r="F3" s="9">
        <f t="shared" si="0"/>
        <v>100</v>
      </c>
      <c r="G3" s="9">
        <f t="shared" si="0"/>
        <v>100</v>
      </c>
      <c r="H3" s="9">
        <f t="shared" si="0"/>
        <v>100</v>
      </c>
      <c r="I3" s="9">
        <f t="shared" si="0"/>
        <v>100</v>
      </c>
      <c r="J3" s="9">
        <f t="shared" si="0"/>
        <v>100</v>
      </c>
      <c r="K3" s="9">
        <f t="shared" si="0"/>
        <v>100</v>
      </c>
      <c r="L3" s="9">
        <f t="shared" si="0"/>
        <v>100</v>
      </c>
      <c r="M3" s="9">
        <f t="shared" si="0"/>
        <v>100</v>
      </c>
      <c r="N3" s="9">
        <f t="shared" si="0"/>
        <v>100</v>
      </c>
      <c r="O3" s="9">
        <f t="shared" si="0"/>
        <v>100</v>
      </c>
      <c r="P3" s="9">
        <f t="shared" si="0"/>
        <v>100</v>
      </c>
      <c r="Q3" s="9">
        <f t="shared" si="0"/>
        <v>100</v>
      </c>
      <c r="R3" s="9">
        <f t="shared" si="0"/>
        <v>100</v>
      </c>
      <c r="S3" s="9">
        <f t="shared" si="0"/>
        <v>100</v>
      </c>
      <c r="T3" s="9">
        <f t="shared" si="0"/>
        <v>100</v>
      </c>
      <c r="U3" s="9">
        <f t="shared" si="0"/>
        <v>100</v>
      </c>
      <c r="V3" s="9">
        <f t="shared" si="0"/>
        <v>100</v>
      </c>
      <c r="W3" s="9">
        <f t="shared" si="0"/>
        <v>100</v>
      </c>
      <c r="X3" s="9">
        <f t="shared" si="0"/>
        <v>100</v>
      </c>
      <c r="Y3" s="9">
        <f t="shared" si="0"/>
        <v>100</v>
      </c>
      <c r="Z3" s="9">
        <f t="shared" si="0"/>
        <v>100</v>
      </c>
      <c r="AA3" s="9">
        <f t="shared" si="0"/>
        <v>100</v>
      </c>
      <c r="AB3" s="16"/>
      <c r="AC3" s="16"/>
      <c r="AD3" s="16"/>
      <c r="AE3" s="16"/>
      <c r="AF3" s="11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5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</row>
    <row r="4" spans="1:2763" ht="16.5" customHeight="1" x14ac:dyDescent="0.25">
      <c r="A4" s="14">
        <v>25</v>
      </c>
      <c r="B4" s="160">
        <v>35</v>
      </c>
      <c r="C4" s="159" t="s">
        <v>124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"/>
      <c r="AC4" s="11"/>
      <c r="AD4" s="11"/>
      <c r="AE4" s="111"/>
      <c r="AF4" s="16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</row>
    <row r="5" spans="1:2763" ht="16.5" customHeight="1" x14ac:dyDescent="0.25">
      <c r="A5" s="14">
        <v>26</v>
      </c>
      <c r="B5" s="26">
        <v>30</v>
      </c>
      <c r="C5" s="151" t="s">
        <v>40</v>
      </c>
      <c r="D5" s="9"/>
      <c r="E5" s="9"/>
      <c r="F5" s="9">
        <v>60</v>
      </c>
      <c r="G5" s="9">
        <v>60</v>
      </c>
      <c r="H5" s="9"/>
      <c r="I5" s="9"/>
      <c r="J5" s="9"/>
      <c r="K5" s="9"/>
      <c r="L5" s="9"/>
      <c r="M5" s="9"/>
      <c r="N5" s="9"/>
      <c r="O5" s="9"/>
      <c r="P5" s="9"/>
      <c r="Q5" s="6"/>
      <c r="R5" s="9"/>
      <c r="S5" s="9"/>
      <c r="T5" s="9"/>
      <c r="U5" s="9"/>
      <c r="V5" s="9"/>
      <c r="W5" s="9"/>
      <c r="X5" s="9"/>
      <c r="Y5" s="9"/>
      <c r="Z5" s="9"/>
      <c r="AA5" s="9"/>
      <c r="AB5" s="11"/>
      <c r="AC5" s="11"/>
      <c r="AD5" s="11"/>
      <c r="AE5" s="111"/>
      <c r="AF5" s="162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</row>
    <row r="6" spans="1:2763" ht="16.5" customHeight="1" x14ac:dyDescent="0.25">
      <c r="A6" s="14">
        <v>27</v>
      </c>
      <c r="B6" s="27">
        <v>1.8</v>
      </c>
      <c r="C6" s="151" t="s">
        <v>53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1"/>
      <c r="AC6" s="11"/>
      <c r="AD6" s="11"/>
      <c r="AE6" s="163"/>
      <c r="AF6" s="162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</row>
    <row r="7" spans="1:2763" ht="16.5" customHeight="1" x14ac:dyDescent="0.25">
      <c r="A7" s="14">
        <v>28</v>
      </c>
      <c r="B7" s="160">
        <v>1.3</v>
      </c>
      <c r="C7" s="159" t="s">
        <v>91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1"/>
      <c r="AF7" s="162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</row>
    <row r="8" spans="1:2763" ht="16.5" customHeight="1" x14ac:dyDescent="0.25">
      <c r="A8" s="14">
        <v>29</v>
      </c>
      <c r="B8" s="27">
        <v>6</v>
      </c>
      <c r="C8" s="151" t="s">
        <v>52</v>
      </c>
      <c r="D8" s="9"/>
      <c r="E8" s="9"/>
      <c r="F8" s="16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67"/>
      <c r="V8" s="9"/>
      <c r="W8" s="9"/>
      <c r="X8" s="9"/>
      <c r="Y8" s="9"/>
      <c r="Z8" s="9"/>
      <c r="AA8" s="9"/>
      <c r="AB8" s="11"/>
      <c r="AC8" s="11"/>
      <c r="AD8" s="11"/>
      <c r="AE8" s="163"/>
      <c r="AF8" s="162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</row>
    <row r="9" spans="1:2763" ht="16.5" customHeight="1" x14ac:dyDescent="0.25">
      <c r="A9" s="14">
        <v>30</v>
      </c>
      <c r="B9" s="26">
        <v>0.5</v>
      </c>
      <c r="C9" s="151" t="s">
        <v>29</v>
      </c>
      <c r="D9" s="9"/>
      <c r="E9" s="9"/>
      <c r="F9" s="166"/>
      <c r="G9" s="9"/>
      <c r="H9" s="9"/>
      <c r="I9" s="9"/>
      <c r="J9" s="9"/>
      <c r="K9" s="9"/>
      <c r="L9" s="9"/>
      <c r="M9" s="9"/>
      <c r="N9" s="9"/>
      <c r="O9" s="9"/>
      <c r="P9" s="9"/>
      <c r="Q9" s="6"/>
      <c r="R9" s="9"/>
      <c r="S9" s="9"/>
      <c r="T9" s="9"/>
      <c r="U9" s="167"/>
      <c r="V9" s="9"/>
      <c r="W9" s="9"/>
      <c r="X9" s="9">
        <v>5</v>
      </c>
      <c r="Y9" s="9"/>
      <c r="Z9" s="9"/>
      <c r="AA9" s="9"/>
      <c r="AB9" s="11"/>
      <c r="AC9" s="11"/>
      <c r="AD9" s="11"/>
      <c r="AE9" s="163"/>
      <c r="AF9" s="162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</row>
    <row r="10" spans="1:2763" ht="16.5" customHeight="1" x14ac:dyDescent="0.25">
      <c r="A10" s="14">
        <v>31</v>
      </c>
      <c r="B10" s="27">
        <v>1.07</v>
      </c>
      <c r="C10" s="151" t="s">
        <v>14</v>
      </c>
      <c r="D10" s="9"/>
      <c r="E10" s="9"/>
      <c r="F10" s="166"/>
      <c r="G10" s="9"/>
      <c r="H10" s="9"/>
      <c r="I10" s="9"/>
      <c r="J10" s="9"/>
      <c r="K10" s="9"/>
      <c r="L10" s="9">
        <v>25</v>
      </c>
      <c r="M10" s="9"/>
      <c r="N10" s="9"/>
      <c r="O10" s="9"/>
      <c r="P10" s="9"/>
      <c r="Q10" s="6">
        <v>24</v>
      </c>
      <c r="R10" s="9"/>
      <c r="S10" s="9">
        <v>45</v>
      </c>
      <c r="T10" s="9">
        <v>10</v>
      </c>
      <c r="U10" s="167">
        <v>16</v>
      </c>
      <c r="V10" s="9"/>
      <c r="W10" s="9">
        <v>16</v>
      </c>
      <c r="X10" s="9">
        <v>11</v>
      </c>
      <c r="Y10" s="9"/>
      <c r="Z10" s="9">
        <v>17</v>
      </c>
      <c r="AA10" s="9"/>
      <c r="AB10" s="11"/>
      <c r="AC10" s="11"/>
      <c r="AD10" s="11"/>
      <c r="AE10" s="163"/>
      <c r="AF10" s="162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</row>
    <row r="11" spans="1:2763" ht="16.5" customHeight="1" x14ac:dyDescent="0.25">
      <c r="A11" s="14">
        <v>32</v>
      </c>
      <c r="B11" s="28">
        <v>16</v>
      </c>
      <c r="C11" s="151" t="s">
        <v>69</v>
      </c>
      <c r="D11" s="22"/>
      <c r="E11" s="23"/>
      <c r="F11" s="168"/>
      <c r="G11" s="24"/>
      <c r="H11" s="20"/>
      <c r="I11" s="9">
        <v>70</v>
      </c>
      <c r="J11" s="9"/>
      <c r="K11" s="22"/>
      <c r="L11" s="20"/>
      <c r="M11" s="23"/>
      <c r="N11" s="171"/>
      <c r="O11" s="24"/>
      <c r="P11" s="9"/>
      <c r="Q11" s="20"/>
      <c r="R11" s="21"/>
      <c r="S11" s="22"/>
      <c r="T11" s="22"/>
      <c r="U11" s="169"/>
      <c r="V11" s="22"/>
      <c r="W11" s="171"/>
      <c r="X11" s="20"/>
      <c r="Y11" s="9"/>
      <c r="Z11" s="21"/>
      <c r="AA11" s="21"/>
      <c r="AB11" s="11"/>
      <c r="AC11" s="11"/>
      <c r="AD11" s="11"/>
      <c r="AE11" s="163"/>
      <c r="AF11" s="162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</row>
    <row r="12" spans="1:2763" ht="16.5" customHeight="1" x14ac:dyDescent="0.25">
      <c r="A12" s="14">
        <v>33</v>
      </c>
      <c r="B12" s="26">
        <v>2.25</v>
      </c>
      <c r="C12" s="152" t="s">
        <v>19</v>
      </c>
      <c r="D12" s="9"/>
      <c r="E12" s="9"/>
      <c r="F12" s="166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  <c r="R12" s="9"/>
      <c r="S12" s="9"/>
      <c r="T12" s="9"/>
      <c r="U12" s="167"/>
      <c r="V12" s="9"/>
      <c r="W12" s="9"/>
      <c r="X12" s="9"/>
      <c r="Y12" s="9"/>
      <c r="Z12" s="9"/>
      <c r="AA12" s="9"/>
      <c r="AB12" s="11"/>
      <c r="AC12" s="11"/>
      <c r="AD12" s="11"/>
      <c r="AE12" s="163"/>
      <c r="AF12" s="162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</row>
    <row r="13" spans="1:2763" s="4" customFormat="1" ht="16.5" customHeight="1" x14ac:dyDescent="0.25">
      <c r="A13" s="14">
        <v>34</v>
      </c>
      <c r="B13" s="27">
        <v>2.04</v>
      </c>
      <c r="C13" s="152" t="s">
        <v>20</v>
      </c>
      <c r="D13" s="9"/>
      <c r="E13" s="9"/>
      <c r="F13" s="166"/>
      <c r="G13" s="9"/>
      <c r="H13" s="9"/>
      <c r="I13" s="9"/>
      <c r="J13" s="9"/>
      <c r="K13" s="9">
        <v>12</v>
      </c>
      <c r="L13" s="9">
        <v>15</v>
      </c>
      <c r="M13" s="9"/>
      <c r="N13" s="9"/>
      <c r="O13" s="9"/>
      <c r="P13" s="9"/>
      <c r="Q13" s="6"/>
      <c r="R13" s="9">
        <v>30</v>
      </c>
      <c r="S13" s="9"/>
      <c r="T13" s="9">
        <v>20</v>
      </c>
      <c r="U13" s="167"/>
      <c r="V13" s="9"/>
      <c r="W13" s="9"/>
      <c r="X13" s="9">
        <v>21</v>
      </c>
      <c r="Y13" s="9"/>
      <c r="Z13" s="9">
        <v>26</v>
      </c>
      <c r="AA13" s="9"/>
      <c r="AB13" s="11"/>
      <c r="AC13" s="11"/>
      <c r="AD13" s="11"/>
      <c r="AE13" s="111"/>
      <c r="AF13" s="162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</row>
    <row r="14" spans="1:2763" ht="16.5" customHeight="1" x14ac:dyDescent="0.25">
      <c r="A14" s="14">
        <v>35</v>
      </c>
      <c r="B14" s="27">
        <v>2.37</v>
      </c>
      <c r="C14" s="152" t="s">
        <v>13</v>
      </c>
      <c r="D14" s="9"/>
      <c r="E14" s="9"/>
      <c r="F14" s="166"/>
      <c r="G14" s="9"/>
      <c r="H14" s="9"/>
      <c r="I14" s="9"/>
      <c r="J14" s="9"/>
      <c r="K14" s="9">
        <v>38</v>
      </c>
      <c r="L14" s="9"/>
      <c r="M14" s="9"/>
      <c r="N14" s="9"/>
      <c r="O14" s="9"/>
      <c r="P14" s="9"/>
      <c r="Q14" s="6">
        <v>44</v>
      </c>
      <c r="R14" s="9"/>
      <c r="S14" s="9"/>
      <c r="T14" s="9"/>
      <c r="U14" s="167"/>
      <c r="V14" s="9"/>
      <c r="W14" s="9">
        <v>20</v>
      </c>
      <c r="X14" s="9"/>
      <c r="Y14" s="9"/>
      <c r="Z14" s="9"/>
      <c r="AA14" s="9"/>
      <c r="AB14" s="11"/>
      <c r="AC14" s="11"/>
      <c r="AD14" s="11"/>
      <c r="AE14" s="163"/>
      <c r="AF14" s="162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</row>
    <row r="15" spans="1:2763" s="7" customFormat="1" ht="16.5" customHeight="1" x14ac:dyDescent="0.25">
      <c r="A15" s="14">
        <v>36</v>
      </c>
      <c r="B15" s="27">
        <v>2.1</v>
      </c>
      <c r="C15" s="152" t="s">
        <v>30</v>
      </c>
      <c r="D15" s="9"/>
      <c r="E15" s="9"/>
      <c r="F15" s="166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  <c r="R15" s="9"/>
      <c r="S15" s="9"/>
      <c r="T15" s="9"/>
      <c r="U15" s="167">
        <v>14</v>
      </c>
      <c r="V15" s="9">
        <v>15</v>
      </c>
      <c r="W15" s="9"/>
      <c r="X15" s="9"/>
      <c r="Y15" s="9"/>
      <c r="Z15" s="9"/>
      <c r="AA15" s="9"/>
      <c r="AB15" s="11"/>
      <c r="AC15" s="11"/>
      <c r="AD15" s="11"/>
      <c r="AE15" s="163"/>
      <c r="AF15" s="162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</row>
    <row r="16" spans="1:2763" ht="16.5" customHeight="1" x14ac:dyDescent="0.25">
      <c r="A16" s="14">
        <v>37</v>
      </c>
      <c r="B16" s="27">
        <v>570</v>
      </c>
      <c r="C16" s="151" t="s">
        <v>62</v>
      </c>
      <c r="D16" s="9"/>
      <c r="E16" s="9"/>
      <c r="F16" s="16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67"/>
      <c r="V16" s="9"/>
      <c r="W16" s="9"/>
      <c r="X16" s="9"/>
      <c r="Y16" s="9"/>
      <c r="Z16" s="9"/>
      <c r="AA16" s="9"/>
      <c r="AB16" s="11"/>
      <c r="AC16" s="11"/>
      <c r="AD16" s="11"/>
      <c r="AE16" s="163"/>
      <c r="AF16" s="162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</row>
    <row r="17" spans="1:2763" s="3" customFormat="1" ht="16.5" customHeight="1" x14ac:dyDescent="0.25">
      <c r="A17" s="14">
        <v>38</v>
      </c>
      <c r="B17" s="27">
        <v>0.45</v>
      </c>
      <c r="C17" s="152" t="s">
        <v>21</v>
      </c>
      <c r="D17" s="9"/>
      <c r="E17" s="9"/>
      <c r="F17" s="166"/>
      <c r="G17" s="9"/>
      <c r="H17" s="9"/>
      <c r="I17" s="9"/>
      <c r="J17" s="9"/>
      <c r="K17" s="9">
        <v>7</v>
      </c>
      <c r="L17" s="9">
        <v>5</v>
      </c>
      <c r="M17" s="9"/>
      <c r="N17" s="9"/>
      <c r="O17" s="9"/>
      <c r="P17" s="9"/>
      <c r="Q17" s="6"/>
      <c r="R17" s="9">
        <v>5</v>
      </c>
      <c r="S17" s="9">
        <v>5</v>
      </c>
      <c r="T17" s="9">
        <v>5</v>
      </c>
      <c r="U17" s="167">
        <v>15</v>
      </c>
      <c r="V17" s="9">
        <v>16</v>
      </c>
      <c r="W17" s="9">
        <v>10</v>
      </c>
      <c r="X17" s="9">
        <v>9</v>
      </c>
      <c r="Y17" s="9"/>
      <c r="Z17" s="9">
        <v>19</v>
      </c>
      <c r="AA17" s="9"/>
      <c r="AB17" s="11"/>
      <c r="AC17" s="11"/>
      <c r="AD17" s="11"/>
      <c r="AE17" s="163"/>
      <c r="AF17" s="162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</row>
    <row r="18" spans="1:2763" ht="16.5" customHeight="1" x14ac:dyDescent="0.25">
      <c r="A18" s="14">
        <v>39</v>
      </c>
      <c r="B18" s="29">
        <v>200</v>
      </c>
      <c r="C18" s="151" t="s">
        <v>122</v>
      </c>
      <c r="D18" s="9"/>
      <c r="E18" s="9"/>
      <c r="F18" s="16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67"/>
      <c r="V18" s="9"/>
      <c r="W18" s="9"/>
      <c r="X18" s="9"/>
      <c r="Y18" s="9"/>
      <c r="Z18" s="9"/>
      <c r="AA18" s="9"/>
      <c r="AB18" s="11"/>
      <c r="AC18" s="11"/>
      <c r="AD18" s="11"/>
      <c r="AE18" s="163"/>
      <c r="AF18" s="162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</row>
    <row r="19" spans="1:2763" s="8" customFormat="1" ht="16.5" customHeight="1" x14ac:dyDescent="0.25">
      <c r="A19" s="14">
        <v>40</v>
      </c>
      <c r="B19" s="160">
        <v>23</v>
      </c>
      <c r="C19" s="159" t="s">
        <v>123</v>
      </c>
      <c r="D19" s="9"/>
      <c r="E19" s="9"/>
      <c r="F19" s="16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67"/>
      <c r="V19" s="9"/>
      <c r="W19" s="9"/>
      <c r="X19" s="9"/>
      <c r="Y19" s="9"/>
      <c r="Z19" s="9"/>
      <c r="AA19" s="9"/>
      <c r="AB19" s="11"/>
      <c r="AC19" s="11"/>
      <c r="AD19" s="11"/>
      <c r="AE19" s="163"/>
      <c r="AF19" s="162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</row>
    <row r="20" spans="1:2763" ht="16.5" customHeight="1" x14ac:dyDescent="0.25">
      <c r="A20" s="14">
        <v>41</v>
      </c>
      <c r="B20" s="29">
        <v>2</v>
      </c>
      <c r="C20" s="152" t="s">
        <v>61</v>
      </c>
      <c r="D20" s="9"/>
      <c r="E20" s="9"/>
      <c r="F20" s="16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67"/>
      <c r="V20" s="9"/>
      <c r="W20" s="9"/>
      <c r="X20" s="9"/>
      <c r="Y20" s="9"/>
      <c r="Z20" s="9"/>
      <c r="AA20" s="9"/>
      <c r="AB20" s="11"/>
      <c r="AC20" s="11"/>
      <c r="AD20" s="11"/>
      <c r="AE20" s="163"/>
      <c r="AF20" s="162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</row>
    <row r="21" spans="1:2763" ht="16.5" customHeight="1" x14ac:dyDescent="0.25">
      <c r="A21" s="14">
        <v>42</v>
      </c>
      <c r="B21" s="29">
        <v>1.2</v>
      </c>
      <c r="C21" s="152" t="s">
        <v>31</v>
      </c>
      <c r="D21" s="9"/>
      <c r="E21" s="9"/>
      <c r="F21" s="166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6</v>
      </c>
      <c r="R21" s="9"/>
      <c r="S21" s="9"/>
      <c r="T21" s="9"/>
      <c r="U21" s="167"/>
      <c r="V21" s="9"/>
      <c r="W21" s="9">
        <v>8</v>
      </c>
      <c r="X21" s="9">
        <v>8</v>
      </c>
      <c r="Y21" s="9"/>
      <c r="Z21" s="9"/>
      <c r="AA21" s="9"/>
      <c r="AB21" s="11"/>
      <c r="AC21" s="11"/>
      <c r="AD21" s="11"/>
      <c r="AE21" s="163"/>
      <c r="AF21" s="162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2763" ht="16.5" customHeight="1" x14ac:dyDescent="0.25">
      <c r="A22" s="14">
        <v>43</v>
      </c>
      <c r="B22" s="27">
        <v>2.2000000000000002</v>
      </c>
      <c r="C22" s="152" t="s">
        <v>23</v>
      </c>
      <c r="D22" s="9"/>
      <c r="E22" s="9"/>
      <c r="F22" s="16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50</v>
      </c>
      <c r="U22" s="167"/>
      <c r="V22" s="9"/>
      <c r="W22" s="9"/>
      <c r="X22" s="9"/>
      <c r="Y22" s="9"/>
      <c r="Z22" s="9"/>
      <c r="AA22" s="9"/>
      <c r="AB22" s="11"/>
      <c r="AC22" s="11"/>
      <c r="AD22" s="11"/>
      <c r="AE22" s="163"/>
      <c r="AF22" s="162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2763" ht="16.5" customHeight="1" x14ac:dyDescent="0.25">
      <c r="A23" s="14">
        <v>44</v>
      </c>
      <c r="B23" s="27">
        <v>330</v>
      </c>
      <c r="C23" s="152" t="s">
        <v>49</v>
      </c>
      <c r="D23" s="9"/>
      <c r="E23" s="9"/>
      <c r="F23" s="166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  <c r="R23" s="9"/>
      <c r="S23" s="9"/>
      <c r="T23" s="9"/>
      <c r="U23" s="167"/>
      <c r="V23" s="9"/>
      <c r="W23" s="9"/>
      <c r="X23" s="9"/>
      <c r="Y23" s="9"/>
      <c r="Z23" s="9"/>
      <c r="AA23" s="9"/>
      <c r="AB23" s="11"/>
      <c r="AC23" s="11"/>
      <c r="AD23" s="11"/>
      <c r="AE23" s="163"/>
      <c r="AF23" s="162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2763" ht="16.5" customHeight="1" x14ac:dyDescent="0.25">
      <c r="A24" s="14">
        <v>45</v>
      </c>
      <c r="B24" s="29">
        <v>1.8</v>
      </c>
      <c r="C24" s="152" t="s">
        <v>27</v>
      </c>
      <c r="D24" s="9"/>
      <c r="E24" s="9"/>
      <c r="F24" s="166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67"/>
      <c r="V24" s="9"/>
      <c r="W24" s="9"/>
      <c r="X24" s="9"/>
      <c r="Y24" s="9"/>
      <c r="Z24" s="9"/>
      <c r="AA24" s="9"/>
      <c r="AB24" s="11"/>
      <c r="AC24" s="11"/>
      <c r="AD24" s="11"/>
      <c r="AE24" s="111"/>
      <c r="AF24" s="162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2763" ht="16.5" customHeight="1" x14ac:dyDescent="0.25">
      <c r="A25" s="14">
        <v>46</v>
      </c>
      <c r="B25" s="29">
        <v>1.8</v>
      </c>
      <c r="C25" s="152" t="s">
        <v>26</v>
      </c>
      <c r="D25" s="9"/>
      <c r="E25" s="9"/>
      <c r="F25" s="166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67"/>
      <c r="V25" s="9"/>
      <c r="W25" s="9"/>
      <c r="X25" s="9"/>
      <c r="Y25" s="9"/>
      <c r="Z25" s="9"/>
      <c r="AA25" s="9"/>
      <c r="AB25" s="11"/>
      <c r="AC25" s="11"/>
      <c r="AD25" s="11"/>
      <c r="AE25" s="163"/>
      <c r="AF25" s="162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2763" ht="16.5" customHeight="1" x14ac:dyDescent="0.25">
      <c r="A26" s="14">
        <v>47</v>
      </c>
      <c r="B26" s="26">
        <v>2.5</v>
      </c>
      <c r="C26" s="151" t="s">
        <v>39</v>
      </c>
      <c r="D26" s="9">
        <v>70</v>
      </c>
      <c r="E26" s="9"/>
      <c r="F26" s="166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  <c r="R26" s="9"/>
      <c r="S26" s="9"/>
      <c r="T26" s="9"/>
      <c r="U26" s="167"/>
      <c r="V26" s="9"/>
      <c r="W26" s="9"/>
      <c r="X26" s="9"/>
      <c r="Y26" s="9"/>
      <c r="Z26" s="9"/>
      <c r="AA26" s="9"/>
      <c r="AB26" s="11"/>
      <c r="AC26" s="11"/>
      <c r="AD26" s="11"/>
      <c r="AE26" s="163"/>
      <c r="AF26" s="162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2763" s="13" customFormat="1" x14ac:dyDescent="0.25">
      <c r="A27" s="14">
        <v>48</v>
      </c>
      <c r="B27" s="27">
        <v>7</v>
      </c>
      <c r="C27" s="152" t="s">
        <v>50</v>
      </c>
      <c r="D27" s="9"/>
      <c r="E27" s="9"/>
      <c r="F27" s="166"/>
      <c r="G27" s="9"/>
      <c r="H27" s="9">
        <v>70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67"/>
      <c r="V27" s="9"/>
      <c r="W27" s="9"/>
      <c r="X27" s="9"/>
      <c r="Y27" s="9"/>
      <c r="Z27" s="9"/>
      <c r="AA27" s="9"/>
      <c r="AB27" s="18"/>
      <c r="AC27" s="12"/>
      <c r="AE27" s="163"/>
      <c r="AF27" s="162"/>
      <c r="AG27" s="11"/>
      <c r="AH27" s="18"/>
      <c r="AI27" s="12"/>
      <c r="AK27" s="19"/>
      <c r="AL27" s="17"/>
      <c r="AM27" s="11"/>
      <c r="AN27" s="18"/>
      <c r="AO27" s="12"/>
    </row>
    <row r="28" spans="1:2763" ht="16.5" customHeight="1" x14ac:dyDescent="0.25">
      <c r="A28" s="14">
        <v>49</v>
      </c>
      <c r="B28" s="27">
        <v>5</v>
      </c>
      <c r="C28" s="151" t="s">
        <v>51</v>
      </c>
      <c r="D28" s="9"/>
      <c r="E28" s="9"/>
      <c r="F28" s="166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67"/>
      <c r="V28" s="9"/>
      <c r="W28" s="9"/>
      <c r="X28" s="9"/>
      <c r="Y28" s="9"/>
      <c r="Z28" s="9"/>
      <c r="AA28" s="9"/>
      <c r="AB28" s="11"/>
      <c r="AC28" s="11"/>
      <c r="AD28" s="11"/>
      <c r="AE28" s="163"/>
      <c r="AF28" s="162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2763" ht="16.5" customHeight="1" x14ac:dyDescent="0.25">
      <c r="A29" s="14">
        <v>50</v>
      </c>
      <c r="B29" s="27">
        <v>3.2</v>
      </c>
      <c r="C29" s="151" t="s">
        <v>55</v>
      </c>
      <c r="D29" s="9"/>
      <c r="E29" s="9"/>
      <c r="F29" s="166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67"/>
      <c r="V29" s="9"/>
      <c r="W29" s="9"/>
      <c r="X29" s="9"/>
      <c r="Y29" s="9"/>
      <c r="Z29" s="9"/>
      <c r="AA29" s="9"/>
      <c r="AB29" s="11"/>
      <c r="AC29" s="11"/>
      <c r="AD29" s="11"/>
      <c r="AE29" s="163"/>
      <c r="AF29" s="162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2763" ht="16.5" customHeight="1" x14ac:dyDescent="0.25">
      <c r="A30" s="14">
        <v>51</v>
      </c>
      <c r="B30" s="27">
        <v>0.28999999999999998</v>
      </c>
      <c r="C30" s="152" t="s">
        <v>22</v>
      </c>
      <c r="D30" s="9"/>
      <c r="E30" s="9"/>
      <c r="F30" s="166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  <c r="R30" s="9"/>
      <c r="S30" s="9"/>
      <c r="T30" s="9"/>
      <c r="U30" s="167">
        <v>14</v>
      </c>
      <c r="V30" s="9">
        <v>22</v>
      </c>
      <c r="W30" s="9">
        <v>12</v>
      </c>
      <c r="X30" s="9"/>
      <c r="Y30" s="9"/>
      <c r="Z30" s="9"/>
      <c r="AA30" s="9"/>
      <c r="AB30" s="11"/>
      <c r="AC30" s="11"/>
      <c r="AD30" s="11"/>
      <c r="AE30" s="163"/>
      <c r="AF30" s="162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2763" ht="16.5" customHeight="1" x14ac:dyDescent="0.25">
      <c r="A31" s="14">
        <v>52</v>
      </c>
      <c r="B31" s="27">
        <v>1.8</v>
      </c>
      <c r="C31" s="151" t="s">
        <v>41</v>
      </c>
      <c r="D31" s="9"/>
      <c r="E31" s="9"/>
      <c r="F31" s="166"/>
      <c r="G31" s="9"/>
      <c r="H31" s="9">
        <v>30</v>
      </c>
      <c r="I31" s="9"/>
      <c r="J31" s="9">
        <v>50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167"/>
      <c r="V31" s="9"/>
      <c r="W31" s="9"/>
      <c r="X31" s="9"/>
      <c r="Y31" s="9"/>
      <c r="Z31" s="9"/>
      <c r="AA31" s="9"/>
      <c r="AB31" s="11"/>
      <c r="AC31" s="11"/>
      <c r="AD31" s="11"/>
      <c r="AE31" s="163"/>
      <c r="AF31" s="162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</row>
    <row r="32" spans="1:2763" ht="16.5" customHeight="1" x14ac:dyDescent="0.25">
      <c r="A32" s="14">
        <v>53</v>
      </c>
      <c r="B32" s="160">
        <v>1.65</v>
      </c>
      <c r="C32" s="159" t="s">
        <v>90</v>
      </c>
      <c r="D32" s="9"/>
      <c r="E32" s="9"/>
      <c r="F32" s="166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67"/>
      <c r="V32" s="9"/>
      <c r="W32" s="9"/>
      <c r="X32" s="9"/>
      <c r="Y32" s="9"/>
      <c r="Z32" s="9"/>
      <c r="AA32" s="9"/>
      <c r="AB32" s="11"/>
      <c r="AC32" s="11"/>
      <c r="AD32" s="11"/>
      <c r="AE32" s="163"/>
      <c r="AF32" s="162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ht="16.5" customHeight="1" x14ac:dyDescent="0.25">
      <c r="A33" s="14">
        <v>54</v>
      </c>
      <c r="B33" s="29">
        <v>240</v>
      </c>
      <c r="C33" s="152" t="s">
        <v>65</v>
      </c>
      <c r="D33" s="9"/>
      <c r="E33" s="9"/>
      <c r="F33" s="166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67"/>
      <c r="V33" s="9"/>
      <c r="W33" s="9"/>
      <c r="X33" s="9"/>
      <c r="Y33" s="9"/>
      <c r="Z33" s="9"/>
      <c r="AA33" s="9"/>
      <c r="AB33" s="11"/>
      <c r="AC33" s="11"/>
      <c r="AD33" s="11"/>
      <c r="AE33" s="163"/>
      <c r="AF33" s="162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ht="16.5" customHeight="1" x14ac:dyDescent="0.25">
      <c r="A34" s="14">
        <v>55</v>
      </c>
      <c r="B34" s="29">
        <v>180</v>
      </c>
      <c r="C34" s="152" t="s">
        <v>66</v>
      </c>
      <c r="D34" s="9"/>
      <c r="E34" s="9"/>
      <c r="F34" s="166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67"/>
      <c r="V34" s="9"/>
      <c r="W34" s="9"/>
      <c r="X34" s="9"/>
      <c r="Y34" s="9"/>
      <c r="Z34" s="9"/>
      <c r="AA34" s="9"/>
      <c r="AB34" s="11"/>
      <c r="AC34" s="11"/>
      <c r="AD34" s="11"/>
      <c r="AE34" s="163"/>
      <c r="AF34" s="162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ht="16.5" customHeight="1" x14ac:dyDescent="0.25">
      <c r="A35" s="14">
        <v>56</v>
      </c>
      <c r="B35" s="27">
        <v>8</v>
      </c>
      <c r="C35" s="151" t="s">
        <v>68</v>
      </c>
      <c r="D35" s="9"/>
      <c r="E35" s="9"/>
      <c r="F35" s="166"/>
      <c r="G35" s="9"/>
      <c r="H35" s="9"/>
      <c r="I35" s="9">
        <v>30</v>
      </c>
      <c r="J35" s="9">
        <v>50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167"/>
      <c r="V35" s="9"/>
      <c r="W35" s="9"/>
      <c r="X35" s="9"/>
      <c r="Y35" s="9"/>
      <c r="Z35" s="9"/>
      <c r="AA35" s="9"/>
      <c r="AB35" s="11"/>
      <c r="AC35" s="11"/>
      <c r="AD35" s="11"/>
      <c r="AE35" s="163"/>
      <c r="AF35" s="162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3" ht="16.5" customHeight="1" x14ac:dyDescent="0.25">
      <c r="A36" s="14">
        <v>57</v>
      </c>
      <c r="B36" s="27">
        <v>9</v>
      </c>
      <c r="C36" s="151" t="s">
        <v>43</v>
      </c>
      <c r="D36" s="9"/>
      <c r="E36" s="9"/>
      <c r="F36" s="166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67"/>
      <c r="V36" s="9"/>
      <c r="W36" s="9"/>
      <c r="X36" s="9"/>
      <c r="Y36" s="9"/>
      <c r="Z36" s="9"/>
      <c r="AA36" s="9"/>
      <c r="AB36" s="11"/>
      <c r="AC36" s="11"/>
      <c r="AD36" s="11"/>
      <c r="AE36" s="163"/>
      <c r="AF36" s="162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ht="16.5" customHeight="1" x14ac:dyDescent="0.25">
      <c r="A37" s="14">
        <v>58</v>
      </c>
      <c r="B37" s="27">
        <v>1.9</v>
      </c>
      <c r="C37" s="152" t="s">
        <v>15</v>
      </c>
      <c r="D37" s="9"/>
      <c r="E37" s="9"/>
      <c r="F37" s="166"/>
      <c r="G37" s="9"/>
      <c r="H37" s="9"/>
      <c r="I37" s="9"/>
      <c r="J37" s="9"/>
      <c r="K37" s="9">
        <v>13</v>
      </c>
      <c r="L37" s="9">
        <v>25</v>
      </c>
      <c r="M37" s="9"/>
      <c r="N37" s="9"/>
      <c r="O37" s="9"/>
      <c r="P37" s="9"/>
      <c r="Q37" s="6">
        <v>8</v>
      </c>
      <c r="R37" s="9">
        <v>20</v>
      </c>
      <c r="S37" s="9">
        <v>30</v>
      </c>
      <c r="T37" s="9"/>
      <c r="U37" s="167">
        <v>26</v>
      </c>
      <c r="V37" s="9"/>
      <c r="W37" s="9">
        <v>9</v>
      </c>
      <c r="X37" s="9">
        <v>10</v>
      </c>
      <c r="Y37" s="9"/>
      <c r="Z37" s="9"/>
      <c r="AA37" s="9"/>
      <c r="AB37" s="11"/>
      <c r="AC37" s="11"/>
      <c r="AD37" s="11"/>
      <c r="AE37" s="163"/>
      <c r="AF37" s="162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ht="16.5" customHeight="1" x14ac:dyDescent="0.25">
      <c r="A38" s="14">
        <v>59</v>
      </c>
      <c r="B38" s="27">
        <v>3.12</v>
      </c>
      <c r="C38" s="152" t="s">
        <v>16</v>
      </c>
      <c r="D38" s="9"/>
      <c r="E38" s="9"/>
      <c r="F38" s="166"/>
      <c r="G38" s="9"/>
      <c r="H38" s="9"/>
      <c r="I38" s="9"/>
      <c r="J38" s="9"/>
      <c r="K38" s="9">
        <v>30</v>
      </c>
      <c r="L38" s="9">
        <v>15</v>
      </c>
      <c r="M38" s="9"/>
      <c r="N38" s="9"/>
      <c r="O38" s="9"/>
      <c r="P38" s="9"/>
      <c r="Q38" s="6">
        <v>8</v>
      </c>
      <c r="R38" s="9">
        <v>25</v>
      </c>
      <c r="S38" s="9"/>
      <c r="T38" s="9"/>
      <c r="U38" s="167"/>
      <c r="V38" s="9"/>
      <c r="W38" s="9">
        <v>10</v>
      </c>
      <c r="X38" s="9">
        <v>9</v>
      </c>
      <c r="Y38" s="9"/>
      <c r="Z38" s="9"/>
      <c r="AA38" s="9"/>
      <c r="AB38" s="11"/>
      <c r="AC38" s="11"/>
      <c r="AD38" s="11"/>
      <c r="AE38" s="111"/>
      <c r="AF38" s="162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ht="16.5" customHeight="1" x14ac:dyDescent="0.25">
      <c r="A39" s="14">
        <v>60</v>
      </c>
      <c r="B39" s="27">
        <v>2.15</v>
      </c>
      <c r="C39" s="152" t="s">
        <v>17</v>
      </c>
      <c r="D39" s="9"/>
      <c r="E39" s="9"/>
      <c r="F39" s="166"/>
      <c r="G39" s="9"/>
      <c r="H39" s="9"/>
      <c r="I39" s="9"/>
      <c r="J39" s="9"/>
      <c r="K39" s="9"/>
      <c r="L39" s="9"/>
      <c r="M39" s="9"/>
      <c r="N39" s="9"/>
      <c r="O39" s="9">
        <v>20</v>
      </c>
      <c r="P39" s="9"/>
      <c r="Q39" s="6"/>
      <c r="R39" s="9"/>
      <c r="S39" s="9"/>
      <c r="T39" s="9"/>
      <c r="U39" s="167"/>
      <c r="V39" s="9"/>
      <c r="W39" s="9"/>
      <c r="X39" s="9"/>
      <c r="Y39" s="9"/>
      <c r="Z39" s="9"/>
      <c r="AA39" s="9">
        <v>33</v>
      </c>
      <c r="AB39" s="11"/>
      <c r="AC39" s="11"/>
      <c r="AD39" s="11"/>
      <c r="AE39" s="111"/>
      <c r="AF39" s="162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  <row r="40" spans="1:73" ht="16.5" customHeight="1" x14ac:dyDescent="0.25">
      <c r="A40" s="14">
        <v>61</v>
      </c>
      <c r="B40" s="27">
        <v>3.8</v>
      </c>
      <c r="C40" s="152" t="s">
        <v>18</v>
      </c>
      <c r="D40" s="9"/>
      <c r="E40" s="9"/>
      <c r="F40" s="166"/>
      <c r="G40" s="9"/>
      <c r="H40" s="9"/>
      <c r="I40" s="9"/>
      <c r="J40" s="9"/>
      <c r="K40" s="9"/>
      <c r="L40" s="9"/>
      <c r="M40" s="9"/>
      <c r="N40" s="9"/>
      <c r="O40" s="9">
        <v>35</v>
      </c>
      <c r="P40" s="9"/>
      <c r="Q40" s="6"/>
      <c r="R40" s="9"/>
      <c r="S40" s="9"/>
      <c r="T40" s="9">
        <v>15</v>
      </c>
      <c r="U40" s="167"/>
      <c r="V40" s="9"/>
      <c r="W40" s="9"/>
      <c r="X40" s="9"/>
      <c r="Y40" s="9">
        <v>24</v>
      </c>
      <c r="Z40" s="9">
        <v>20</v>
      </c>
      <c r="AA40" s="9">
        <v>43</v>
      </c>
      <c r="AB40" s="11"/>
      <c r="AC40" s="11"/>
      <c r="AD40" s="11"/>
      <c r="AE40" s="111"/>
      <c r="AF40" s="162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73" ht="16.5" customHeight="1" x14ac:dyDescent="0.25">
      <c r="A41" s="14">
        <v>62</v>
      </c>
      <c r="B41" s="27">
        <v>2</v>
      </c>
      <c r="C41" s="152" t="s">
        <v>7</v>
      </c>
      <c r="D41" s="9"/>
      <c r="E41" s="9"/>
      <c r="F41" s="166"/>
      <c r="G41" s="9"/>
      <c r="H41" s="9"/>
      <c r="I41" s="9"/>
      <c r="J41" s="9"/>
      <c r="K41" s="9"/>
      <c r="L41" s="9"/>
      <c r="M41" s="9">
        <v>10</v>
      </c>
      <c r="N41" s="9">
        <v>40</v>
      </c>
      <c r="O41" s="9"/>
      <c r="P41" s="9"/>
      <c r="Q41" s="6"/>
      <c r="R41" s="9"/>
      <c r="S41" s="9"/>
      <c r="T41" s="9"/>
      <c r="U41" s="167"/>
      <c r="V41" s="9">
        <v>32</v>
      </c>
      <c r="W41" s="9"/>
      <c r="X41" s="9"/>
      <c r="Y41" s="9"/>
      <c r="Z41" s="9"/>
      <c r="AA41" s="9"/>
      <c r="AB41" s="11"/>
      <c r="AC41" s="11"/>
      <c r="AD41" s="11"/>
      <c r="AE41" s="163"/>
      <c r="AF41" s="162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</row>
    <row r="42" spans="1:73" ht="16.5" customHeight="1" x14ac:dyDescent="0.25">
      <c r="A42" s="14">
        <v>63</v>
      </c>
      <c r="B42" s="27">
        <v>2.7</v>
      </c>
      <c r="C42" s="152" t="s">
        <v>8</v>
      </c>
      <c r="D42" s="9"/>
      <c r="E42" s="9"/>
      <c r="F42" s="166"/>
      <c r="G42" s="9"/>
      <c r="H42" s="9"/>
      <c r="I42" s="9"/>
      <c r="J42" s="9"/>
      <c r="K42" s="9"/>
      <c r="L42" s="9"/>
      <c r="M42" s="9"/>
      <c r="N42" s="9">
        <v>10</v>
      </c>
      <c r="O42" s="9"/>
      <c r="P42" s="9"/>
      <c r="Q42" s="6"/>
      <c r="R42" s="9"/>
      <c r="S42" s="9"/>
      <c r="T42" s="9"/>
      <c r="U42" s="167"/>
      <c r="V42" s="9"/>
      <c r="W42" s="9"/>
      <c r="X42" s="9"/>
      <c r="Y42" s="9"/>
      <c r="Z42" s="9"/>
      <c r="AA42" s="9"/>
      <c r="AB42" s="11"/>
      <c r="AC42" s="11"/>
      <c r="AD42" s="11"/>
      <c r="AE42" s="111"/>
      <c r="AF42" s="162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</row>
    <row r="43" spans="1:73" ht="16.5" customHeight="1" x14ac:dyDescent="0.25">
      <c r="A43" s="14">
        <v>64</v>
      </c>
      <c r="B43" s="27">
        <v>2</v>
      </c>
      <c r="C43" s="153" t="s">
        <v>9</v>
      </c>
      <c r="D43" s="9"/>
      <c r="E43" s="9"/>
      <c r="F43" s="166"/>
      <c r="G43" s="9"/>
      <c r="H43" s="9"/>
      <c r="I43" s="9"/>
      <c r="J43" s="9"/>
      <c r="K43" s="9"/>
      <c r="L43" s="9"/>
      <c r="M43" s="9">
        <v>20</v>
      </c>
      <c r="N43" s="9"/>
      <c r="O43" s="9"/>
      <c r="P43" s="9"/>
      <c r="Q43" s="6"/>
      <c r="R43" s="9"/>
      <c r="S43" s="9"/>
      <c r="T43" s="9"/>
      <c r="U43" s="167"/>
      <c r="V43" s="9"/>
      <c r="W43" s="9"/>
      <c r="X43" s="9"/>
      <c r="Y43" s="9">
        <v>17</v>
      </c>
      <c r="Z43" s="9"/>
      <c r="AA43" s="9"/>
      <c r="AB43" s="11"/>
      <c r="AC43" s="11"/>
      <c r="AD43" s="11"/>
      <c r="AE43" s="111"/>
      <c r="AF43" s="162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</row>
    <row r="44" spans="1:73" ht="16.5" customHeight="1" x14ac:dyDescent="0.25">
      <c r="A44" s="14">
        <v>65</v>
      </c>
      <c r="B44" s="27">
        <v>2.7</v>
      </c>
      <c r="C44" s="153" t="s">
        <v>10</v>
      </c>
      <c r="D44" s="9"/>
      <c r="E44" s="9"/>
      <c r="F44" s="166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67"/>
      <c r="V44" s="9"/>
      <c r="W44" s="9"/>
      <c r="X44" s="9"/>
      <c r="Y44" s="9">
        <v>20</v>
      </c>
      <c r="Z44" s="9"/>
      <c r="AA44" s="9"/>
      <c r="AB44" s="11"/>
      <c r="AC44" s="11"/>
      <c r="AD44" s="11"/>
      <c r="AE44" s="111"/>
      <c r="AF44" s="162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ht="16.5" customHeight="1" x14ac:dyDescent="0.25">
      <c r="A45" s="14">
        <v>66</v>
      </c>
      <c r="B45" s="29">
        <v>21.9</v>
      </c>
      <c r="C45" s="152" t="s">
        <v>28</v>
      </c>
      <c r="D45" s="9"/>
      <c r="E45" s="9"/>
      <c r="F45" s="166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67"/>
      <c r="V45" s="9"/>
      <c r="W45" s="9"/>
      <c r="X45" s="9"/>
      <c r="Y45" s="9"/>
      <c r="Z45" s="9"/>
      <c r="AA45" s="9"/>
      <c r="AB45" s="11"/>
      <c r="AC45" s="11"/>
      <c r="AD45" s="11"/>
      <c r="AE45" s="111"/>
      <c r="AF45" s="162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</row>
    <row r="46" spans="1:73" ht="16.5" customHeight="1" x14ac:dyDescent="0.25">
      <c r="A46" s="14">
        <v>67</v>
      </c>
      <c r="B46" s="29">
        <v>21</v>
      </c>
      <c r="C46" s="153" t="s">
        <v>32</v>
      </c>
      <c r="D46" s="9"/>
      <c r="E46" s="9"/>
      <c r="F46" s="166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67"/>
      <c r="V46" s="9"/>
      <c r="W46" s="9"/>
      <c r="X46" s="9"/>
      <c r="Y46" s="9"/>
      <c r="Z46" s="9"/>
      <c r="AA46" s="9"/>
      <c r="AB46" s="11"/>
      <c r="AC46" s="11"/>
      <c r="AD46" s="11"/>
      <c r="AE46" s="111"/>
      <c r="AF46" s="162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ht="16.5" customHeight="1" x14ac:dyDescent="0.25">
      <c r="A47" s="14">
        <v>68</v>
      </c>
      <c r="B47" s="29">
        <v>29</v>
      </c>
      <c r="C47" s="151" t="s">
        <v>42</v>
      </c>
      <c r="D47" s="9"/>
      <c r="E47" s="9"/>
      <c r="F47" s="166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67"/>
      <c r="V47" s="9"/>
      <c r="W47" s="9"/>
      <c r="X47" s="9"/>
      <c r="Y47" s="9"/>
      <c r="Z47" s="9"/>
      <c r="AA47" s="9"/>
      <c r="AB47" s="11"/>
      <c r="AC47" s="11"/>
      <c r="AD47" s="11"/>
      <c r="AE47" s="111"/>
      <c r="AF47" s="162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 ht="16.5" customHeight="1" x14ac:dyDescent="0.25">
      <c r="A48" s="14">
        <v>69</v>
      </c>
      <c r="B48" s="160">
        <v>17</v>
      </c>
      <c r="C48" s="159" t="s">
        <v>120</v>
      </c>
      <c r="D48" s="9"/>
      <c r="E48" s="9"/>
      <c r="F48" s="166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67"/>
      <c r="V48" s="9"/>
      <c r="W48" s="9"/>
      <c r="X48" s="9"/>
      <c r="Y48" s="9"/>
      <c r="Z48" s="9"/>
      <c r="AA48" s="9"/>
      <c r="AB48" s="11"/>
      <c r="AC48" s="11"/>
      <c r="AD48" s="11"/>
      <c r="AE48" s="111"/>
      <c r="AF48" s="162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73" ht="16.5" customHeight="1" x14ac:dyDescent="0.25">
      <c r="A49" s="14">
        <v>70</v>
      </c>
      <c r="B49" s="160">
        <v>30</v>
      </c>
      <c r="C49" s="159" t="s">
        <v>119</v>
      </c>
      <c r="D49" s="9"/>
      <c r="E49" s="9">
        <v>70</v>
      </c>
      <c r="F49" s="16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67"/>
      <c r="V49" s="9"/>
      <c r="W49" s="9"/>
      <c r="X49" s="9"/>
      <c r="Y49" s="9"/>
      <c r="Z49" s="9"/>
      <c r="AA49" s="9"/>
      <c r="AB49" s="11"/>
      <c r="AC49" s="11"/>
      <c r="AD49" s="11"/>
      <c r="AE49" s="111"/>
      <c r="AF49" s="162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73" ht="16.5" customHeight="1" x14ac:dyDescent="0.25">
      <c r="A50" s="14">
        <v>71</v>
      </c>
      <c r="B50" s="27">
        <v>30</v>
      </c>
      <c r="C50" s="153" t="s">
        <v>56</v>
      </c>
      <c r="D50" s="9"/>
      <c r="E50" s="9"/>
      <c r="F50" s="16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67"/>
      <c r="V50" s="9"/>
      <c r="W50" s="9"/>
      <c r="X50" s="9"/>
      <c r="Y50" s="9"/>
      <c r="Z50" s="9"/>
      <c r="AA50" s="9"/>
      <c r="AB50" s="11"/>
      <c r="AC50" s="11"/>
      <c r="AD50" s="11"/>
      <c r="AE50" s="111"/>
      <c r="AF50" s="162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73" ht="16.5" customHeight="1" x14ac:dyDescent="0.25">
      <c r="A51" s="14">
        <v>72</v>
      </c>
      <c r="B51" s="27">
        <v>47</v>
      </c>
      <c r="C51" s="151" t="s">
        <v>54</v>
      </c>
      <c r="D51" s="9"/>
      <c r="E51" s="9"/>
      <c r="F51" s="166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67"/>
      <c r="V51" s="9"/>
      <c r="W51" s="9"/>
      <c r="X51" s="9"/>
      <c r="Y51" s="9"/>
      <c r="Z51" s="9"/>
      <c r="AA51" s="9"/>
      <c r="AB51" s="11"/>
      <c r="AC51" s="11"/>
      <c r="AD51" s="11"/>
      <c r="AE51" s="111"/>
      <c r="AF51" s="162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</row>
    <row r="52" spans="1:73" ht="16.5" customHeight="1" x14ac:dyDescent="0.25">
      <c r="A52" s="14">
        <v>73</v>
      </c>
      <c r="B52" s="29">
        <v>0.9</v>
      </c>
      <c r="C52" s="152" t="s">
        <v>48</v>
      </c>
      <c r="D52" s="9"/>
      <c r="E52" s="9"/>
      <c r="F52" s="166"/>
      <c r="G52" s="9"/>
      <c r="H52" s="9"/>
      <c r="I52" s="9"/>
      <c r="J52" s="9"/>
      <c r="K52" s="9"/>
      <c r="L52" s="9">
        <v>5</v>
      </c>
      <c r="M52" s="9"/>
      <c r="N52" s="9"/>
      <c r="O52" s="9"/>
      <c r="P52" s="9"/>
      <c r="Q52" s="9"/>
      <c r="R52" s="9">
        <v>10</v>
      </c>
      <c r="S52" s="9">
        <v>5</v>
      </c>
      <c r="T52" s="9"/>
      <c r="U52" s="167">
        <v>11</v>
      </c>
      <c r="V52" s="9"/>
      <c r="W52" s="9">
        <v>11</v>
      </c>
      <c r="X52" s="9">
        <v>9</v>
      </c>
      <c r="Y52" s="9"/>
      <c r="Z52" s="9">
        <v>12</v>
      </c>
      <c r="AA52" s="9"/>
      <c r="AB52" s="11"/>
      <c r="AC52" s="11"/>
      <c r="AD52" s="11"/>
      <c r="AE52" s="111"/>
      <c r="AF52" s="162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</row>
    <row r="53" spans="1:73" ht="16.5" customHeight="1" x14ac:dyDescent="0.25">
      <c r="A53" s="14">
        <v>74</v>
      </c>
      <c r="B53" s="29">
        <v>0.8</v>
      </c>
      <c r="C53" s="152" t="s">
        <v>34</v>
      </c>
      <c r="D53" s="9"/>
      <c r="E53" s="9"/>
      <c r="F53" s="166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67"/>
      <c r="V53" s="9"/>
      <c r="W53" s="9"/>
      <c r="X53" s="9"/>
      <c r="Y53" s="9"/>
      <c r="Z53" s="9"/>
      <c r="AA53" s="9"/>
      <c r="AB53" s="11"/>
      <c r="AC53" s="11"/>
      <c r="AD53" s="11"/>
      <c r="AE53" s="111"/>
      <c r="AF53" s="162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1:73" ht="16.5" customHeight="1" x14ac:dyDescent="0.25">
      <c r="A54" s="14">
        <v>75</v>
      </c>
      <c r="B54" s="29">
        <v>0.6</v>
      </c>
      <c r="C54" s="152" t="s">
        <v>35</v>
      </c>
      <c r="D54" s="9"/>
      <c r="E54" s="9"/>
      <c r="F54" s="166"/>
      <c r="G54" s="9"/>
      <c r="H54" s="9"/>
      <c r="I54" s="9"/>
      <c r="J54" s="9"/>
      <c r="K54" s="9"/>
      <c r="L54" s="9">
        <v>5</v>
      </c>
      <c r="M54" s="9"/>
      <c r="N54" s="9"/>
      <c r="O54" s="9">
        <v>5</v>
      </c>
      <c r="P54" s="9"/>
      <c r="Q54" s="9">
        <v>10</v>
      </c>
      <c r="R54" s="9">
        <v>5</v>
      </c>
      <c r="S54" s="9">
        <v>5</v>
      </c>
      <c r="T54" s="9"/>
      <c r="U54" s="167"/>
      <c r="V54" s="9">
        <v>11</v>
      </c>
      <c r="W54" s="9"/>
      <c r="X54" s="9"/>
      <c r="Y54" s="9"/>
      <c r="Z54" s="9"/>
      <c r="AA54" s="9"/>
      <c r="AB54" s="11"/>
      <c r="AC54" s="11"/>
      <c r="AD54" s="11"/>
      <c r="AE54" s="111"/>
      <c r="AF54" s="162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1:73" ht="16.5" customHeight="1" x14ac:dyDescent="0.25">
      <c r="A55" s="14">
        <v>76</v>
      </c>
      <c r="B55" s="29">
        <v>2.9</v>
      </c>
      <c r="C55" s="152" t="s">
        <v>33</v>
      </c>
      <c r="D55" s="9">
        <v>30</v>
      </c>
      <c r="E55" s="9"/>
      <c r="F55" s="166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67"/>
      <c r="V55" s="9"/>
      <c r="W55" s="9"/>
      <c r="X55" s="9"/>
      <c r="Y55" s="9"/>
      <c r="Z55" s="9"/>
      <c r="AA55" s="9"/>
      <c r="AB55" s="11"/>
      <c r="AC55" s="11"/>
      <c r="AD55" s="11"/>
      <c r="AE55" s="111"/>
      <c r="AF55" s="162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73" ht="16.5" customHeight="1" x14ac:dyDescent="0.25">
      <c r="A56" s="14">
        <v>77</v>
      </c>
      <c r="B56" s="29">
        <v>0.82</v>
      </c>
      <c r="C56" s="152" t="s">
        <v>46</v>
      </c>
      <c r="D56" s="9"/>
      <c r="E56" s="9"/>
      <c r="F56" s="166"/>
      <c r="G56" s="9"/>
      <c r="H56" s="9"/>
      <c r="I56" s="9"/>
      <c r="J56" s="9"/>
      <c r="K56" s="9"/>
      <c r="L56" s="9"/>
      <c r="M56" s="9">
        <v>15</v>
      </c>
      <c r="N56" s="9"/>
      <c r="O56" s="9"/>
      <c r="P56" s="9">
        <v>15</v>
      </c>
      <c r="Q56" s="9"/>
      <c r="R56" s="9"/>
      <c r="S56" s="9"/>
      <c r="T56" s="9"/>
      <c r="U56" s="167"/>
      <c r="V56" s="9"/>
      <c r="W56" s="9"/>
      <c r="X56" s="9"/>
      <c r="Y56" s="9"/>
      <c r="Z56" s="9"/>
      <c r="AA56" s="9"/>
      <c r="AB56" s="11"/>
      <c r="AC56" s="11"/>
      <c r="AD56" s="11"/>
      <c r="AE56" s="111"/>
      <c r="AF56" s="162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73" ht="16.5" customHeight="1" x14ac:dyDescent="0.25">
      <c r="A57" s="14">
        <v>78</v>
      </c>
      <c r="B57" s="29">
        <v>1.4</v>
      </c>
      <c r="C57" s="152" t="s">
        <v>47</v>
      </c>
      <c r="D57" s="9"/>
      <c r="E57" s="9"/>
      <c r="F57" s="166"/>
      <c r="G57" s="9"/>
      <c r="H57" s="9"/>
      <c r="I57" s="9"/>
      <c r="J57" s="9"/>
      <c r="K57" s="9"/>
      <c r="L57" s="9"/>
      <c r="M57" s="9">
        <v>15</v>
      </c>
      <c r="N57" s="9">
        <v>10</v>
      </c>
      <c r="O57" s="9"/>
      <c r="P57" s="9">
        <v>15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>
        <v>7</v>
      </c>
      <c r="AB57" s="11"/>
      <c r="AC57" s="11"/>
      <c r="AD57" s="11"/>
      <c r="AE57" s="111"/>
      <c r="AF57" s="162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73" ht="16.5" customHeight="1" x14ac:dyDescent="0.25">
      <c r="A58" s="14">
        <v>79</v>
      </c>
      <c r="B58" s="154">
        <v>0.9</v>
      </c>
      <c r="C58" s="159" t="s">
        <v>121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11"/>
      <c r="AC58" s="11"/>
      <c r="AD58" s="11"/>
      <c r="AE58" s="111"/>
      <c r="AF58" s="162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73" x14ac:dyDescent="0.25">
      <c r="A59" s="14">
        <v>80</v>
      </c>
      <c r="B59" s="158">
        <v>0.7</v>
      </c>
      <c r="C59" s="152" t="s">
        <v>45</v>
      </c>
      <c r="D59" s="9"/>
      <c r="E59" s="9"/>
      <c r="F59" s="9"/>
      <c r="G59" s="9"/>
      <c r="H59" s="9"/>
      <c r="I59" s="9"/>
      <c r="J59" s="9"/>
      <c r="K59" s="9"/>
      <c r="L59" s="9">
        <v>5</v>
      </c>
      <c r="M59" s="9"/>
      <c r="N59" s="9"/>
      <c r="O59" s="9"/>
      <c r="P59" s="9"/>
      <c r="Q59" s="9"/>
      <c r="R59" s="9">
        <v>5</v>
      </c>
      <c r="S59" s="9"/>
      <c r="T59" s="9"/>
      <c r="U59" s="9"/>
      <c r="V59" s="9"/>
      <c r="W59" s="9"/>
      <c r="X59" s="9">
        <v>9</v>
      </c>
      <c r="Y59" s="9"/>
      <c r="Z59" s="9"/>
      <c r="AA59" s="9"/>
      <c r="AB59" s="11"/>
      <c r="AC59" s="11"/>
      <c r="AD59" s="11"/>
      <c r="AE59" s="56"/>
      <c r="AF59" s="162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1:73" x14ac:dyDescent="0.25">
      <c r="A60" s="14">
        <v>81</v>
      </c>
      <c r="B60" s="158">
        <v>3.5</v>
      </c>
      <c r="C60" s="152" t="s">
        <v>36</v>
      </c>
      <c r="D60" s="9"/>
      <c r="E60" s="9">
        <v>30</v>
      </c>
      <c r="F60" s="9"/>
      <c r="G60" s="9"/>
      <c r="H60" s="9"/>
      <c r="I60" s="9"/>
      <c r="J60" s="9"/>
      <c r="K60" s="9"/>
      <c r="L60" s="9"/>
      <c r="M60" s="9">
        <v>15</v>
      </c>
      <c r="N60" s="9">
        <v>40</v>
      </c>
      <c r="O60" s="9">
        <v>10</v>
      </c>
      <c r="P60" s="9">
        <v>25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11"/>
      <c r="AC60" s="11"/>
      <c r="AD60" s="11"/>
      <c r="AE60" s="56"/>
      <c r="AF60" s="162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73" x14ac:dyDescent="0.25">
      <c r="A61" s="14">
        <v>82</v>
      </c>
      <c r="B61" s="158">
        <v>3.8</v>
      </c>
      <c r="C61" s="152" t="s">
        <v>24</v>
      </c>
      <c r="D61" s="9"/>
      <c r="E61" s="9"/>
      <c r="F61" s="9"/>
      <c r="G61" s="9"/>
      <c r="H61" s="9"/>
      <c r="I61" s="9"/>
      <c r="J61" s="9"/>
      <c r="K61" s="9"/>
      <c r="L61" s="9"/>
      <c r="M61" s="9">
        <v>25</v>
      </c>
      <c r="N61" s="9"/>
      <c r="O61" s="9"/>
      <c r="P61" s="9">
        <v>35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11"/>
      <c r="AC61" s="11"/>
      <c r="AD61" s="11"/>
      <c r="AE61" s="111"/>
      <c r="AF61" s="162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73" x14ac:dyDescent="0.25">
      <c r="A62" s="14">
        <v>83</v>
      </c>
      <c r="B62" s="158">
        <v>1.4</v>
      </c>
      <c r="C62" s="152" t="s">
        <v>25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10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73" x14ac:dyDescent="0.25">
      <c r="A63" s="14">
        <v>84</v>
      </c>
      <c r="B63" s="161">
        <v>1.8</v>
      </c>
      <c r="C63" s="152" t="s">
        <v>37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30</v>
      </c>
      <c r="P63" s="9"/>
      <c r="Q63" s="9"/>
      <c r="R63" s="9"/>
      <c r="S63" s="9">
        <v>10</v>
      </c>
      <c r="T63" s="9"/>
      <c r="U63" s="9">
        <v>4</v>
      </c>
      <c r="V63" s="9">
        <v>4</v>
      </c>
      <c r="W63" s="9">
        <v>4</v>
      </c>
      <c r="X63" s="9">
        <v>9</v>
      </c>
      <c r="Y63" s="9">
        <v>24</v>
      </c>
      <c r="Z63" s="9">
        <v>6</v>
      </c>
      <c r="AA63" s="9">
        <v>17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73" x14ac:dyDescent="0.25">
      <c r="A64" s="14">
        <v>85</v>
      </c>
      <c r="B64" s="161">
        <v>3</v>
      </c>
      <c r="C64" s="152" t="s">
        <v>38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>
        <v>15</v>
      </c>
      <c r="Z64" s="9"/>
      <c r="AA64" s="9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x14ac:dyDescent="0.25">
      <c r="A65" s="14">
        <v>86</v>
      </c>
      <c r="B65" s="158">
        <v>60</v>
      </c>
      <c r="C65" s="151" t="s">
        <v>44</v>
      </c>
      <c r="D65" s="9"/>
      <c r="E65" s="9"/>
      <c r="F65" s="9">
        <v>40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x14ac:dyDescent="0.25">
      <c r="A66" s="14">
        <v>87</v>
      </c>
      <c r="B66" s="154">
        <v>28</v>
      </c>
      <c r="C66" s="151" t="s">
        <v>118</v>
      </c>
      <c r="D66" s="9"/>
      <c r="E66" s="9"/>
      <c r="F66" s="9"/>
      <c r="G66" s="9">
        <v>40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x14ac:dyDescent="0.25">
      <c r="A67" s="13"/>
      <c r="B67" s="194"/>
      <c r="C67" s="1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x14ac:dyDescent="0.25">
      <c r="A68" s="13"/>
      <c r="B68" s="194"/>
      <c r="C68" s="1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 x14ac:dyDescent="0.25">
      <c r="A69" s="13"/>
      <c r="B69" s="11"/>
      <c r="C69" s="196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x14ac:dyDescent="0.25"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x14ac:dyDescent="0.25"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x14ac:dyDescent="0.25"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x14ac:dyDescent="0.25"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x14ac:dyDescent="0.25"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 x14ac:dyDescent="0.25"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x14ac:dyDescent="0.25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x14ac:dyDescent="0.25"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</sheetData>
  <sortState columnSort="1" caseSensitive="1" ref="D2:AB69">
    <sortCondition ref="D2:AB2"/>
  </sortState>
  <pageMargins left="0.7" right="0.7" top="0.75" bottom="0.75" header="0.3" footer="0.3"/>
  <pageSetup paperSize="9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topLeftCell="D3" zoomScale="80" zoomScaleNormal="80" workbookViewId="0">
      <pane xSplit="10020" topLeftCell="L1" activePane="topRight"/>
      <selection activeCell="E3" sqref="E3:E4"/>
      <selection pane="topRight" activeCell="Q4" sqref="Q4"/>
    </sheetView>
  </sheetViews>
  <sheetFormatPr baseColWidth="10" defaultRowHeight="15" x14ac:dyDescent="0.25"/>
  <cols>
    <col min="1" max="1" width="5.7109375" style="34" bestFit="1" customWidth="1"/>
    <col min="2" max="2" width="3" style="34" bestFit="1" customWidth="1"/>
    <col min="3" max="3" width="8.140625" style="34" customWidth="1"/>
    <col min="4" max="4" width="27.85546875" style="34" bestFit="1" customWidth="1"/>
    <col min="5" max="5" width="12" style="34" customWidth="1"/>
    <col min="6" max="6" width="10.85546875" style="34" customWidth="1"/>
    <col min="7" max="7" width="14.7109375" style="34" customWidth="1"/>
    <col min="8" max="8" width="17.85546875" style="34" customWidth="1"/>
    <col min="9" max="10" width="10.42578125" style="34" customWidth="1"/>
    <col min="11" max="11" width="8.5703125" style="174" customWidth="1"/>
    <col min="12" max="12" width="8.5703125" style="34" customWidth="1"/>
    <col min="13" max="13" width="13.42578125" style="34" bestFit="1" customWidth="1"/>
    <col min="14" max="14" width="16.42578125" style="34" bestFit="1" customWidth="1"/>
    <col min="15" max="15" width="7.7109375" style="34" bestFit="1" customWidth="1"/>
    <col min="16" max="17" width="12.28515625" style="34" customWidth="1"/>
    <col min="18" max="18" width="5.28515625" style="34" customWidth="1"/>
    <col min="19" max="19" width="11" style="34" customWidth="1"/>
    <col min="20" max="22" width="12.28515625" style="34" hidden="1" customWidth="1"/>
    <col min="23" max="23" width="12.28515625" style="34" customWidth="1"/>
    <col min="24" max="24" width="10.28515625" style="34" customWidth="1"/>
    <col min="25" max="25" width="11" style="34" customWidth="1"/>
    <col min="26" max="26" width="10.85546875" style="34" customWidth="1"/>
    <col min="27" max="27" width="5.28515625" style="34" customWidth="1"/>
    <col min="28" max="29" width="10.140625" style="34" customWidth="1"/>
    <col min="30" max="30" width="9.28515625" style="34" customWidth="1"/>
    <col min="31" max="31" width="13.140625" style="34" customWidth="1"/>
    <col min="32" max="32" width="12.28515625" style="34" customWidth="1"/>
    <col min="33" max="33" width="6.42578125" style="34" customWidth="1"/>
    <col min="34" max="36" width="10.140625" style="34" customWidth="1"/>
    <col min="37" max="37" width="13.140625" style="34" customWidth="1"/>
    <col min="38" max="38" width="10.85546875" style="34" customWidth="1"/>
    <col min="39" max="39" width="12.28515625" style="34" customWidth="1"/>
    <col min="40" max="42" width="10.140625" style="34" customWidth="1"/>
    <col min="43" max="43" width="13.28515625" style="34" customWidth="1"/>
    <col min="44" max="44" width="10.140625" style="34" customWidth="1"/>
    <col min="45" max="45" width="6" style="34" customWidth="1"/>
    <col min="46" max="46" width="9" style="34" customWidth="1"/>
    <col min="47" max="48" width="10.28515625" style="34" customWidth="1"/>
    <col min="49" max="49" width="13.140625" style="34" customWidth="1"/>
    <col min="50" max="50" width="10.28515625" style="34" customWidth="1"/>
    <col min="51" max="51" width="6.42578125" style="34" customWidth="1"/>
    <col min="52" max="52" width="9" style="34" customWidth="1"/>
    <col min="53" max="57" width="12.28515625" style="34" customWidth="1"/>
    <col min="58" max="58" width="9.42578125" style="297" customWidth="1"/>
    <col min="59" max="60" width="10.7109375" style="34" customWidth="1"/>
    <col min="61" max="61" width="12.42578125" style="34" customWidth="1"/>
    <col min="62" max="63" width="10.7109375" style="34" customWidth="1"/>
    <col min="64" max="80" width="12.28515625" style="34" customWidth="1"/>
    <col min="81" max="16384" width="11.42578125" style="34"/>
  </cols>
  <sheetData>
    <row r="1" spans="2:82" ht="42.75" customHeight="1" thickBot="1" x14ac:dyDescent="0.3">
      <c r="B1" s="250" t="s">
        <v>103</v>
      </c>
      <c r="C1" s="251"/>
      <c r="D1" s="251"/>
      <c r="E1" s="251"/>
      <c r="F1" s="251"/>
      <c r="G1" s="251"/>
      <c r="H1" s="251"/>
      <c r="I1" s="251"/>
      <c r="J1" s="251"/>
      <c r="K1" s="252"/>
    </row>
    <row r="2" spans="2:82" ht="6.75" customHeight="1" x14ac:dyDescent="0.25"/>
    <row r="3" spans="2:82" ht="21" customHeight="1" x14ac:dyDescent="0.25">
      <c r="B3" s="30"/>
      <c r="C3" s="31"/>
      <c r="D3" s="32" t="s">
        <v>107</v>
      </c>
      <c r="E3" s="62">
        <f>IF('FEUILLE DE DONNEES'!D39="","",'FEUILLE DE DONNEES'!D39)</f>
        <v>9</v>
      </c>
      <c r="F3" s="260" t="str">
        <f>IF(E3="","",HLOOKUP(E3,COMPOSITTIONS!$D$1:$AA$2,2,0))</f>
        <v>MELANGE FOIN DAUPHINE SAVOY</v>
      </c>
      <c r="G3" s="261"/>
      <c r="H3" s="261"/>
      <c r="I3" s="262"/>
      <c r="J3" s="62">
        <f>IF('FEUILLE DE DONNEES'!H39="","",'FEUILLE DE DONNEES'!H39)</f>
        <v>5</v>
      </c>
      <c r="K3" s="142" t="s">
        <v>57</v>
      </c>
      <c r="L3" s="33"/>
      <c r="CD3" s="74"/>
    </row>
    <row r="4" spans="2:82" ht="21" customHeight="1" x14ac:dyDescent="0.25">
      <c r="B4" s="30"/>
      <c r="C4" s="31"/>
      <c r="D4" s="32" t="s">
        <v>108</v>
      </c>
      <c r="E4" s="62" t="str">
        <f>IF('FEUILLE DE DONNEES'!D40="","",'FEUILLE DE DONNEES'!D40)</f>
        <v/>
      </c>
      <c r="F4" s="260" t="str">
        <f>IF(E4="","",HLOOKUP(E4,COMPOSITTIONS!$D$1:$AA$2,2,0))</f>
        <v/>
      </c>
      <c r="G4" s="261"/>
      <c r="H4" s="261"/>
      <c r="I4" s="262"/>
      <c r="J4" s="62" t="str">
        <f>IF('FEUILLE DE DONNEES'!H40="","",'FEUILLE DE DONNEES'!H40)</f>
        <v/>
      </c>
      <c r="K4" s="142" t="s">
        <v>57</v>
      </c>
      <c r="L4" s="33"/>
      <c r="AF4" s="199"/>
      <c r="CD4" s="74"/>
    </row>
    <row r="5" spans="2:82" ht="14.25" customHeight="1" x14ac:dyDescent="0.25">
      <c r="B5" s="30"/>
      <c r="C5" s="31"/>
      <c r="D5" s="32" t="s">
        <v>70</v>
      </c>
      <c r="E5" s="172"/>
      <c r="F5" s="266"/>
      <c r="G5" s="266"/>
      <c r="H5" s="266"/>
      <c r="I5" s="266"/>
      <c r="J5" s="306" t="str">
        <f>IF('FEUILLE DE DONNEES'!H41="","",'FEUILLE DE DONNEES'!H41)</f>
        <v/>
      </c>
      <c r="K5" s="197"/>
      <c r="CD5" s="74"/>
    </row>
    <row r="6" spans="2:82" ht="21" customHeight="1" x14ac:dyDescent="0.25">
      <c r="B6" s="30"/>
      <c r="C6" s="31"/>
      <c r="D6" s="32" t="s">
        <v>77</v>
      </c>
      <c r="E6" s="62" t="str">
        <f>IF('FEUILLE DE DONNEES'!D42="","",'FEUILLE DE DONNEES'!D42)</f>
        <v/>
      </c>
      <c r="F6" s="263" t="str">
        <f>IF(E6="","",VLOOKUP(E6,$B$15:$D$79,3,0))</f>
        <v/>
      </c>
      <c r="G6" s="263"/>
      <c r="H6" s="263"/>
      <c r="I6" s="263"/>
      <c r="J6" s="62" t="str">
        <f>IF('FEUILLE DE DONNEES'!H42="","",'FEUILLE DE DONNEES'!H42)</f>
        <v/>
      </c>
      <c r="K6" s="143" t="s">
        <v>57</v>
      </c>
      <c r="L6" s="33"/>
      <c r="CD6" s="74"/>
    </row>
    <row r="7" spans="2:82" ht="21" customHeight="1" x14ac:dyDescent="0.25">
      <c r="B7" s="30"/>
      <c r="C7" s="31"/>
      <c r="D7" s="32" t="s">
        <v>78</v>
      </c>
      <c r="E7" s="62" t="str">
        <f>IF('FEUILLE DE DONNEES'!D43="","",'FEUILLE DE DONNEES'!D43)</f>
        <v/>
      </c>
      <c r="F7" s="263" t="str">
        <f t="shared" ref="F7:F11" si="0">IF(E7="","",VLOOKUP(E7,$B$15:$D$79,3,0))</f>
        <v/>
      </c>
      <c r="G7" s="263"/>
      <c r="H7" s="263"/>
      <c r="I7" s="263"/>
      <c r="J7" s="62" t="str">
        <f>IF('FEUILLE DE DONNEES'!H43="","",'FEUILLE DE DONNEES'!H43)</f>
        <v/>
      </c>
      <c r="K7" s="143" t="s">
        <v>57</v>
      </c>
      <c r="L7" s="33"/>
      <c r="CD7" s="74"/>
    </row>
    <row r="8" spans="2:82" ht="21" customHeight="1" x14ac:dyDescent="0.25">
      <c r="B8" s="30"/>
      <c r="C8" s="31"/>
      <c r="D8" s="32" t="s">
        <v>79</v>
      </c>
      <c r="E8" s="62" t="str">
        <f>IF('FEUILLE DE DONNEES'!D44="","",'FEUILLE DE DONNEES'!D44)</f>
        <v/>
      </c>
      <c r="F8" s="263" t="str">
        <f t="shared" si="0"/>
        <v/>
      </c>
      <c r="G8" s="263"/>
      <c r="H8" s="263"/>
      <c r="I8" s="263"/>
      <c r="J8" s="62" t="str">
        <f>IF('FEUILLE DE DONNEES'!H44="","",'FEUILLE DE DONNEES'!H44)</f>
        <v/>
      </c>
      <c r="K8" s="143" t="s">
        <v>57</v>
      </c>
      <c r="L8" s="33"/>
    </row>
    <row r="9" spans="2:82" ht="21" customHeight="1" x14ac:dyDescent="0.25">
      <c r="B9" s="30"/>
      <c r="C9" s="31"/>
      <c r="D9" s="32" t="s">
        <v>80</v>
      </c>
      <c r="E9" s="62" t="str">
        <f>IF('FEUILLE DE DONNEES'!D45="","",'FEUILLE DE DONNEES'!D45)</f>
        <v/>
      </c>
      <c r="F9" s="263" t="str">
        <f t="shared" si="0"/>
        <v/>
      </c>
      <c r="G9" s="263"/>
      <c r="H9" s="263"/>
      <c r="I9" s="263"/>
      <c r="J9" s="62" t="str">
        <f>IF('FEUILLE DE DONNEES'!H45="","",'FEUILLE DE DONNEES'!H45)</f>
        <v/>
      </c>
      <c r="K9" s="143" t="s">
        <v>57</v>
      </c>
      <c r="L9" s="33"/>
      <c r="M9" s="37"/>
      <c r="N9" s="307">
        <f>IF($F$3="","",IFERROR(HLOOKUP($F$3,COMPOSITTIONS!$D$2:$AA$66,3,FALSE),""))</f>
        <v>0</v>
      </c>
      <c r="O9" s="37"/>
      <c r="P9" s="37"/>
      <c r="Q9" s="38"/>
      <c r="AB9" s="39"/>
      <c r="AC9" s="39"/>
      <c r="AD9" s="39"/>
      <c r="AE9" s="39"/>
      <c r="AF9" s="30"/>
      <c r="AG9" s="30"/>
      <c r="AH9" s="39"/>
      <c r="AI9" s="39"/>
      <c r="AJ9" s="39"/>
      <c r="AK9" s="30"/>
      <c r="AL9" s="30"/>
      <c r="AN9" s="39"/>
      <c r="AO9" s="39"/>
      <c r="AP9" s="39"/>
      <c r="AQ9" s="30"/>
      <c r="AR9" s="30"/>
      <c r="AT9" s="39"/>
      <c r="AU9" s="39"/>
      <c r="AV9" s="39"/>
      <c r="AW9" s="30"/>
      <c r="AX9" s="30"/>
    </row>
    <row r="10" spans="2:82" ht="21" customHeight="1" x14ac:dyDescent="0.25">
      <c r="B10" s="30"/>
      <c r="C10" s="36"/>
      <c r="D10" s="32" t="s">
        <v>81</v>
      </c>
      <c r="E10" s="62" t="str">
        <f>IF('FEUILLE DE DONNEES'!D46="","",'FEUILLE DE DONNEES'!D46)</f>
        <v/>
      </c>
      <c r="F10" s="263" t="str">
        <f t="shared" si="0"/>
        <v/>
      </c>
      <c r="G10" s="263"/>
      <c r="H10" s="263"/>
      <c r="I10" s="263"/>
      <c r="J10" s="62" t="str">
        <f>IF('FEUILLE DE DONNEES'!H46="","",'FEUILLE DE DONNEES'!H46)</f>
        <v/>
      </c>
      <c r="K10" s="143" t="s">
        <v>57</v>
      </c>
      <c r="L10" s="33"/>
      <c r="M10" s="37"/>
      <c r="N10" s="37"/>
      <c r="O10" s="37"/>
      <c r="P10" s="37"/>
      <c r="Q10" s="38"/>
      <c r="AB10" s="39"/>
      <c r="AC10" s="39"/>
      <c r="AD10" s="39"/>
      <c r="AE10" s="39"/>
      <c r="AF10" s="30"/>
      <c r="AG10" s="30"/>
      <c r="AH10" s="39"/>
      <c r="AI10" s="39"/>
      <c r="AJ10" s="39"/>
      <c r="AK10" s="30"/>
      <c r="AL10" s="30"/>
      <c r="AN10" s="39"/>
      <c r="AO10" s="39"/>
      <c r="AP10" s="39"/>
      <c r="AQ10" s="30"/>
      <c r="AR10" s="30"/>
      <c r="AT10" s="39"/>
      <c r="AU10" s="39"/>
      <c r="AV10" s="39"/>
      <c r="AW10" s="30"/>
      <c r="AX10" s="30"/>
    </row>
    <row r="11" spans="2:82" ht="21" customHeight="1" x14ac:dyDescent="0.25">
      <c r="B11" s="30"/>
      <c r="C11" s="36"/>
      <c r="D11" s="32" t="s">
        <v>82</v>
      </c>
      <c r="E11" s="62" t="str">
        <f>IF('FEUILLE DE DONNEES'!D47="","",'FEUILLE DE DONNEES'!D47)</f>
        <v/>
      </c>
      <c r="F11" s="263" t="str">
        <f t="shared" si="0"/>
        <v/>
      </c>
      <c r="G11" s="263"/>
      <c r="H11" s="263"/>
      <c r="I11" s="263"/>
      <c r="J11" s="62" t="str">
        <f>IF('FEUILLE DE DONNEES'!H47="","",'FEUILLE DE DONNEES'!H47)</f>
        <v/>
      </c>
      <c r="K11" s="143" t="s">
        <v>57</v>
      </c>
      <c r="L11" s="33"/>
      <c r="M11" s="37"/>
      <c r="N11" s="37"/>
      <c r="O11" s="37"/>
      <c r="P11" s="37"/>
      <c r="Q11" s="38"/>
      <c r="AB11" s="39"/>
      <c r="AC11" s="39"/>
      <c r="AD11" s="39"/>
      <c r="AE11" s="39"/>
      <c r="AF11" s="30"/>
      <c r="AG11" s="30"/>
      <c r="AH11" s="39"/>
      <c r="AI11" s="39"/>
      <c r="AJ11" s="39"/>
      <c r="AK11" s="30"/>
      <c r="AL11" s="30"/>
      <c r="AN11" s="39"/>
      <c r="AO11" s="39"/>
      <c r="AP11" s="39"/>
      <c r="AQ11" s="30"/>
      <c r="AR11" s="30"/>
      <c r="AT11" s="39"/>
      <c r="AU11" s="39"/>
      <c r="AV11" s="39"/>
      <c r="AW11" s="30"/>
      <c r="AX11" s="30"/>
    </row>
    <row r="12" spans="2:82" s="60" customFormat="1" ht="21" customHeight="1" thickBot="1" x14ac:dyDescent="0.3">
      <c r="B12" s="30"/>
      <c r="C12" s="35"/>
      <c r="D12" s="67"/>
      <c r="E12" s="68"/>
      <c r="F12" s="59"/>
      <c r="G12" s="59"/>
      <c r="H12" s="59"/>
      <c r="I12" s="59"/>
      <c r="J12" s="71"/>
      <c r="K12" s="59"/>
      <c r="L12" s="59"/>
      <c r="M12" s="69"/>
      <c r="N12" s="69"/>
      <c r="O12" s="69"/>
      <c r="P12" s="69"/>
      <c r="Q12" s="70"/>
      <c r="AB12" s="39"/>
      <c r="AC12" s="39"/>
      <c r="AD12" s="39"/>
      <c r="AE12" s="39"/>
      <c r="AF12" s="30"/>
      <c r="AG12" s="30"/>
      <c r="AH12" s="39"/>
      <c r="AI12" s="39"/>
      <c r="AJ12" s="39"/>
      <c r="AK12" s="30"/>
      <c r="AL12" s="30"/>
      <c r="AN12" s="39"/>
      <c r="AO12" s="39"/>
      <c r="AP12" s="39"/>
      <c r="AQ12" s="30"/>
      <c r="AR12" s="30"/>
      <c r="AT12" s="39"/>
      <c r="AU12" s="39"/>
      <c r="AV12" s="39"/>
      <c r="AW12" s="30"/>
      <c r="AX12" s="30"/>
      <c r="BF12" s="298"/>
    </row>
    <row r="13" spans="2:82" ht="15.75" customHeight="1" thickBot="1" x14ac:dyDescent="0.3">
      <c r="B13" s="253" t="s">
        <v>92</v>
      </c>
      <c r="C13" s="253"/>
      <c r="D13" s="254"/>
      <c r="E13" s="207" t="e">
        <f>(I29+I31+I32+I33+I34+I35+I37+I38+I46+I47+I58+I59+I65+I66+I67+I68+I69+I70+I71+I72+I73+I74+I75+I76+I77+I78+I79)</f>
        <v>#VALUE!</v>
      </c>
      <c r="F13" s="264" t="s">
        <v>93</v>
      </c>
      <c r="G13" s="264"/>
      <c r="H13" s="265"/>
      <c r="I13" s="72" t="s">
        <v>71</v>
      </c>
      <c r="J13" s="73">
        <f>IF(SUM(J3:J11)=0,"",SUM(J3:J11))</f>
        <v>5</v>
      </c>
      <c r="K13" s="143" t="s">
        <v>57</v>
      </c>
      <c r="L13" s="41"/>
      <c r="M13" s="248" t="s">
        <v>109</v>
      </c>
      <c r="N13" s="248"/>
      <c r="O13" s="248"/>
      <c r="P13" s="248"/>
      <c r="Q13" s="248"/>
      <c r="S13" s="255" t="s">
        <v>110</v>
      </c>
      <c r="T13" s="256"/>
      <c r="U13" s="256"/>
      <c r="V13" s="256"/>
      <c r="W13" s="256"/>
      <c r="X13" s="256"/>
      <c r="Y13" s="256"/>
      <c r="Z13" s="257"/>
      <c r="AB13" s="255" t="s">
        <v>135</v>
      </c>
      <c r="AC13" s="256"/>
      <c r="AD13" s="256"/>
      <c r="AE13" s="256"/>
      <c r="AF13" s="257"/>
      <c r="AG13" s="30"/>
      <c r="AH13" s="255" t="s">
        <v>133</v>
      </c>
      <c r="AI13" s="256"/>
      <c r="AJ13" s="256"/>
      <c r="AK13" s="256"/>
      <c r="AL13" s="257"/>
      <c r="AN13" s="255" t="s">
        <v>134</v>
      </c>
      <c r="AO13" s="256"/>
      <c r="AP13" s="256"/>
      <c r="AQ13" s="256"/>
      <c r="AR13" s="257"/>
      <c r="AT13" s="255" t="s">
        <v>136</v>
      </c>
      <c r="AU13" s="256"/>
      <c r="AV13" s="256"/>
      <c r="AW13" s="256"/>
      <c r="AX13" s="257"/>
      <c r="AZ13" s="255" t="s">
        <v>137</v>
      </c>
      <c r="BA13" s="256"/>
      <c r="BB13" s="256"/>
      <c r="BC13" s="256"/>
      <c r="BD13" s="257"/>
      <c r="BF13" s="255" t="s">
        <v>138</v>
      </c>
      <c r="BG13" s="256"/>
      <c r="BH13" s="256"/>
      <c r="BI13" s="256"/>
      <c r="BJ13" s="257"/>
      <c r="BK13" s="295"/>
    </row>
    <row r="14" spans="2:82" ht="12.75" customHeight="1" thickBot="1" x14ac:dyDescent="0.3">
      <c r="C14" s="40"/>
      <c r="D14" s="40"/>
      <c r="E14" s="40"/>
      <c r="F14" s="41"/>
      <c r="G14" s="40"/>
      <c r="H14" s="42"/>
      <c r="I14" s="41"/>
      <c r="J14" s="41"/>
      <c r="K14" s="198"/>
      <c r="L14" s="41"/>
      <c r="M14" s="249"/>
      <c r="N14" s="249"/>
      <c r="O14" s="249"/>
      <c r="P14" s="249"/>
      <c r="Q14" s="249"/>
      <c r="S14" s="258"/>
      <c r="T14" s="249"/>
      <c r="U14" s="249"/>
      <c r="V14" s="249"/>
      <c r="W14" s="249"/>
      <c r="X14" s="249"/>
      <c r="Y14" s="249"/>
      <c r="Z14" s="259"/>
      <c r="AB14" s="258"/>
      <c r="AC14" s="249"/>
      <c r="AD14" s="249"/>
      <c r="AE14" s="249"/>
      <c r="AF14" s="259"/>
      <c r="AG14" s="30"/>
      <c r="AH14" s="258"/>
      <c r="AI14" s="249"/>
      <c r="AJ14" s="249"/>
      <c r="AK14" s="249"/>
      <c r="AL14" s="259"/>
      <c r="AN14" s="258"/>
      <c r="AO14" s="249"/>
      <c r="AP14" s="249"/>
      <c r="AQ14" s="249"/>
      <c r="AR14" s="259"/>
      <c r="AT14" s="258"/>
      <c r="AU14" s="249"/>
      <c r="AV14" s="249"/>
      <c r="AW14" s="249"/>
      <c r="AX14" s="259"/>
      <c r="AZ14" s="258"/>
      <c r="BA14" s="249"/>
      <c r="BB14" s="249"/>
      <c r="BC14" s="249"/>
      <c r="BD14" s="259"/>
      <c r="BF14" s="258"/>
      <c r="BG14" s="249"/>
      <c r="BH14" s="249"/>
      <c r="BI14" s="249"/>
      <c r="BJ14" s="259"/>
      <c r="BK14" s="295"/>
    </row>
    <row r="15" spans="2:82" ht="58.5" customHeight="1" thickBot="1" x14ac:dyDescent="0.3">
      <c r="C15" s="279" t="s">
        <v>11</v>
      </c>
      <c r="D15" s="281" t="s">
        <v>12</v>
      </c>
      <c r="E15" s="280" t="s">
        <v>128</v>
      </c>
      <c r="F15" s="270" t="s">
        <v>89</v>
      </c>
      <c r="G15" s="270" t="s">
        <v>64</v>
      </c>
      <c r="H15" s="273" t="s">
        <v>58</v>
      </c>
      <c r="I15" s="270" t="s">
        <v>83</v>
      </c>
      <c r="J15" s="46"/>
      <c r="K15" s="46"/>
      <c r="L15" s="46"/>
      <c r="M15" s="43" t="s">
        <v>132</v>
      </c>
      <c r="N15" s="43" t="s">
        <v>83</v>
      </c>
      <c r="O15" s="43" t="s">
        <v>127</v>
      </c>
      <c r="P15" s="44" t="s">
        <v>58</v>
      </c>
      <c r="Q15" s="45" t="s">
        <v>59</v>
      </c>
      <c r="S15" s="201" t="s">
        <v>60</v>
      </c>
      <c r="T15" s="200" t="s">
        <v>63</v>
      </c>
      <c r="U15" s="47" t="s">
        <v>84</v>
      </c>
      <c r="V15" s="269" t="s">
        <v>64</v>
      </c>
      <c r="W15" s="201" t="s">
        <v>83</v>
      </c>
      <c r="X15" s="43" t="s">
        <v>127</v>
      </c>
      <c r="Y15" s="294" t="s">
        <v>58</v>
      </c>
      <c r="Z15" s="294" t="s">
        <v>59</v>
      </c>
      <c r="AB15" s="201" t="s">
        <v>129</v>
      </c>
      <c r="AC15" s="201" t="s">
        <v>131</v>
      </c>
      <c r="AD15" s="43" t="s">
        <v>127</v>
      </c>
      <c r="AE15" s="205" t="s">
        <v>130</v>
      </c>
      <c r="AF15" s="294" t="s">
        <v>59</v>
      </c>
      <c r="AG15" s="30"/>
      <c r="AH15" s="201" t="s">
        <v>129</v>
      </c>
      <c r="AI15" s="205" t="s">
        <v>131</v>
      </c>
      <c r="AJ15" s="43" t="s">
        <v>127</v>
      </c>
      <c r="AK15" s="205" t="s">
        <v>130</v>
      </c>
      <c r="AL15" s="294" t="s">
        <v>59</v>
      </c>
      <c r="AN15" s="201" t="s">
        <v>129</v>
      </c>
      <c r="AO15" s="205" t="s">
        <v>131</v>
      </c>
      <c r="AP15" s="43" t="s">
        <v>127</v>
      </c>
      <c r="AQ15" s="200" t="s">
        <v>130</v>
      </c>
      <c r="AR15" s="45" t="s">
        <v>59</v>
      </c>
      <c r="AT15" s="287" t="s">
        <v>129</v>
      </c>
      <c r="AU15" s="201" t="s">
        <v>131</v>
      </c>
      <c r="AV15" s="43" t="s">
        <v>127</v>
      </c>
      <c r="AW15" s="201" t="s">
        <v>130</v>
      </c>
      <c r="AX15" s="288" t="s">
        <v>59</v>
      </c>
      <c r="AZ15" s="201" t="s">
        <v>129</v>
      </c>
      <c r="BA15" s="205" t="s">
        <v>131</v>
      </c>
      <c r="BB15" s="43" t="s">
        <v>127</v>
      </c>
      <c r="BC15" s="201" t="s">
        <v>130</v>
      </c>
      <c r="BD15" s="288" t="s">
        <v>59</v>
      </c>
      <c r="BF15" s="299" t="s">
        <v>129</v>
      </c>
      <c r="BG15" s="205" t="s">
        <v>131</v>
      </c>
      <c r="BH15" s="43" t="s">
        <v>127</v>
      </c>
      <c r="BI15" s="201" t="s">
        <v>130</v>
      </c>
      <c r="BJ15" s="288" t="s">
        <v>59</v>
      </c>
    </row>
    <row r="16" spans="2:82" ht="14.25" customHeight="1" thickBot="1" x14ac:dyDescent="0.3">
      <c r="C16" s="48"/>
      <c r="D16" s="49"/>
      <c r="E16" s="50"/>
      <c r="F16" s="51" t="e">
        <f>SUM(F17:F79)</f>
        <v>#REF!</v>
      </c>
      <c r="G16" s="52" t="e">
        <f>SUM(G17:G79)</f>
        <v>#REF!</v>
      </c>
      <c r="H16" s="274" t="e">
        <f>SUM(H17:H79)</f>
        <v>#VALUE!</v>
      </c>
      <c r="I16" s="52" t="e">
        <f>SUM(I17:I79)</f>
        <v>#VALUE!</v>
      </c>
      <c r="J16" s="46"/>
      <c r="K16" s="46"/>
      <c r="L16" s="46"/>
      <c r="M16" s="50"/>
      <c r="N16" s="51">
        <f>SUM(N17:N80)</f>
        <v>100</v>
      </c>
      <c r="O16" s="51">
        <f>SUM(O17:O79)</f>
        <v>5</v>
      </c>
      <c r="P16" s="53">
        <f>SUM(P17:P79)</f>
        <v>4041293.567258528</v>
      </c>
      <c r="Q16" s="52" t="e">
        <f>SUM(Q17:Q79)</f>
        <v>#REF!</v>
      </c>
      <c r="S16" s="51"/>
      <c r="T16" s="51" t="e">
        <f t="shared" ref="T16:Z16" ca="1" si="1">SUM(T17:T79)</f>
        <v>#DIV/0!</v>
      </c>
      <c r="U16" s="51" t="e">
        <f t="shared" si="1"/>
        <v>#VALUE!</v>
      </c>
      <c r="V16" s="51" t="e">
        <f t="shared" si="1"/>
        <v>#REF!</v>
      </c>
      <c r="W16" s="51" t="e">
        <f t="shared" si="1"/>
        <v>#REF!</v>
      </c>
      <c r="X16" s="51" t="e">
        <f t="shared" si="1"/>
        <v>#REF!</v>
      </c>
      <c r="Y16" s="53" t="e">
        <f t="shared" si="1"/>
        <v>#REF!</v>
      </c>
      <c r="Z16" s="52" t="e">
        <f t="shared" si="1"/>
        <v>#REF!</v>
      </c>
      <c r="AB16" s="51"/>
      <c r="AC16" s="208"/>
      <c r="AD16" s="208">
        <f t="shared" ref="AC16:AD16" si="2">SUM(AD17:AD79)</f>
        <v>0</v>
      </c>
      <c r="AE16" s="208">
        <f>SUM(AE17:AE79)</f>
        <v>0</v>
      </c>
      <c r="AF16" s="53">
        <f>SUM(AF17:AF79)</f>
        <v>0</v>
      </c>
      <c r="AH16" s="51"/>
      <c r="AI16" s="51"/>
      <c r="AJ16" s="51">
        <f>SUM(AJ17:AJ79)</f>
        <v>0</v>
      </c>
      <c r="AK16" s="202">
        <f>SUM(AK17:AK79)</f>
        <v>0</v>
      </c>
      <c r="AL16" s="51">
        <f>SUM(AL17:AL79)</f>
        <v>0</v>
      </c>
      <c r="AN16" s="51"/>
      <c r="AO16" s="208"/>
      <c r="AP16" s="51">
        <f>SUM(AP17:AP79)</f>
        <v>0</v>
      </c>
      <c r="AQ16" s="301">
        <f>SUM(AQ17:AQ79)</f>
        <v>0</v>
      </c>
      <c r="AR16" s="53">
        <f>SUM($AR$17:AR79)</f>
        <v>0</v>
      </c>
      <c r="AT16" s="202"/>
      <c r="AU16" s="51"/>
      <c r="AV16" s="208">
        <f>SUM(AV17:AV79)</f>
        <v>0</v>
      </c>
      <c r="AW16" s="53">
        <f>SUM(AW17:AW79)</f>
        <v>0</v>
      </c>
      <c r="AX16" s="289">
        <f>SUM(AX17:AX79)</f>
        <v>0</v>
      </c>
      <c r="AZ16" s="51"/>
      <c r="BA16" s="51"/>
      <c r="BB16" s="202">
        <f>SUM(BB17:BB79)</f>
        <v>0</v>
      </c>
      <c r="BC16" s="53">
        <f>SUM(BC17:BC79)</f>
        <v>0</v>
      </c>
      <c r="BD16" s="289">
        <f>SUM(BD17:BD79)</f>
        <v>0</v>
      </c>
      <c r="BF16" s="300"/>
      <c r="BG16" s="202"/>
      <c r="BH16" s="202">
        <f>SUM(BH17:BH79)</f>
        <v>0</v>
      </c>
      <c r="BI16" s="53">
        <f>SUM(BI17:BI79)</f>
        <v>0</v>
      </c>
      <c r="BJ16" s="52">
        <f>SUM(BJ17:BJ79)</f>
        <v>0</v>
      </c>
    </row>
    <row r="17" spans="1:62" ht="21" customHeight="1" thickBot="1" x14ac:dyDescent="0.3">
      <c r="A17" s="34" t="b">
        <f>ISNUMBER(G17)</f>
        <v>0</v>
      </c>
      <c r="B17" s="61">
        <f>COMPOSITTIONS!A4</f>
        <v>25</v>
      </c>
      <c r="C17" s="282">
        <f>COMPOSITTIONS!B4</f>
        <v>35</v>
      </c>
      <c r="D17" s="284" t="str">
        <f>COMPOSITTIONS!C4</f>
        <v>Avoine noire</v>
      </c>
      <c r="E17" s="276">
        <f t="shared" ref="E17:E79" si="3">C17/1000</f>
        <v>3.5000000000000003E-2</v>
      </c>
      <c r="F17" s="278" t="e">
        <f>O17+X17+AE17+AJ17+AP17+AV17+BB17+BH17</f>
        <v>#REF!</v>
      </c>
      <c r="G17" s="271" t="e">
        <f>IF(F17=0,"0,00",F17/$F$16)</f>
        <v>#REF!</v>
      </c>
      <c r="H17" s="275" t="e">
        <f>(BI17+BC17+AW17+AQ17+AK17+AF17+P17)</f>
        <v>#VALUE!</v>
      </c>
      <c r="I17" s="271" t="e">
        <f>IF(H17=0,"0,00",H17/$H$16)</f>
        <v>#VALUE!</v>
      </c>
      <c r="J17" s="56"/>
      <c r="K17" s="56"/>
      <c r="L17" s="56"/>
      <c r="M17" s="144">
        <f>E17</f>
        <v>3.5000000000000003E-2</v>
      </c>
      <c r="N17" s="308"/>
      <c r="O17" s="54">
        <f>((N17/100)*$J$3)</f>
        <v>0</v>
      </c>
      <c r="P17" s="54"/>
      <c r="Q17" s="209" t="str">
        <f>IF(P17="","",(P17/$P$16))</f>
        <v/>
      </c>
      <c r="S17" s="173">
        <f>E17</f>
        <v>3.5000000000000003E-2</v>
      </c>
      <c r="T17" s="57" t="e">
        <f ca="1">IF(T17=#REF!,"0",$J$4/T17)</f>
        <v>#DIV/0!</v>
      </c>
      <c r="U17" s="57" t="e">
        <f>(($J$4*V17)/100)</f>
        <v>#VALUE!</v>
      </c>
      <c r="V17" s="305" t="e">
        <f>IF($F$4&lt;&gt;"",(HLOOKUP($F$4,COMPOSITTIONS!$D$2:$AA$66,3,FALSE)),#REF!)</f>
        <v>#REF!</v>
      </c>
      <c r="W17" s="278" t="e">
        <f>IF($F$4&lt;&gt;"",(HLOOKUP($F$4,COMPOSITTIONS!$D$2:$AA$66,4,FALSE)),#REF!)</f>
        <v>#REF!</v>
      </c>
      <c r="X17" s="278" t="e">
        <f>((W17/100)*$J$4)</f>
        <v>#REF!</v>
      </c>
      <c r="Y17" s="57" t="e">
        <f t="shared" ref="Y17:Y79" si="4">(X17*1000)/S17</f>
        <v>#REF!</v>
      </c>
      <c r="Z17" s="55" t="e">
        <f>IF(Y17=#REF!,"0",(Y17/$Y$16))</f>
        <v>#REF!</v>
      </c>
      <c r="AB17" s="303" t="str">
        <f>IF($E$6=25,(C17/1000),"")</f>
        <v/>
      </c>
      <c r="AC17" s="282" t="str">
        <f>IF(AB17="","",(1/AB17))</f>
        <v/>
      </c>
      <c r="AD17" s="278" t="str">
        <f>IF(AB17="","",$J$6)</f>
        <v/>
      </c>
      <c r="AE17" s="302" t="str">
        <f t="shared" ref="AE17:AE79" si="5">IF(AB17="","",((AC17*1000)*AD17))</f>
        <v/>
      </c>
      <c r="AF17" s="278" t="str">
        <f>IF(AB17="","",((AE17/$AE$16)*100))</f>
        <v/>
      </c>
      <c r="AH17" s="303" t="str">
        <f>IF($E$7=25,(C17/1000),"")</f>
        <v/>
      </c>
      <c r="AI17" s="206" t="str">
        <f>IF(AH17="","",(1/AH17))</f>
        <v/>
      </c>
      <c r="AJ17" s="278" t="str">
        <f>IF(AH17="","",$J$7)</f>
        <v/>
      </c>
      <c r="AK17" s="302" t="str">
        <f>IF(AH17="","",((AI17*1000)*AJ17))</f>
        <v/>
      </c>
      <c r="AL17" s="278" t="str">
        <f>IF(AH17="","",((AK17/$AE$16)*100))</f>
        <v/>
      </c>
      <c r="AM17" s="56"/>
      <c r="AN17" s="303" t="str">
        <f>IF($E$8=25,(C17/1000),"")</f>
        <v/>
      </c>
      <c r="AO17" s="206" t="str">
        <f>IF(AN17="","",(1/AN17))</f>
        <v/>
      </c>
      <c r="AP17" s="278" t="str">
        <f>IF(AN17="","",$J$8)</f>
        <v/>
      </c>
      <c r="AQ17" s="302" t="str">
        <f>IF(AN17="","",((AO17*1000)*AP17))</f>
        <v/>
      </c>
      <c r="AR17" s="278" t="str">
        <f>IF(AN17="","",((AQ17/$AQ$16)*100))</f>
        <v/>
      </c>
      <c r="AT17" s="203" t="str">
        <f>IF($E$9=25,(C17/1000),"")</f>
        <v/>
      </c>
      <c r="AU17" s="268" t="str">
        <f>IF(AT17="","",(1/AT17))</f>
        <v/>
      </c>
      <c r="AV17" s="275" t="str">
        <f>IF(AT17="","",$J$9)</f>
        <v/>
      </c>
      <c r="AW17" s="292" t="str">
        <f>IF(AT17="","",((AU17*1000)*AV17))</f>
        <v/>
      </c>
      <c r="AX17" s="290" t="str">
        <f>IF(AT17="","",(AW17/$AW$16))</f>
        <v/>
      </c>
      <c r="AZ17" s="203" t="str">
        <f>IF($E$10=25,(C17/1000),"")</f>
        <v/>
      </c>
      <c r="BA17" s="267" t="str">
        <f>IF(AZ17="","",(1/AZ17))</f>
        <v/>
      </c>
      <c r="BB17" s="275" t="str">
        <f>IF(AZ17="","",$J$10)</f>
        <v/>
      </c>
      <c r="BC17" s="292" t="str">
        <f>IF(AZ17="","",((BA17*1000)*BB17))</f>
        <v/>
      </c>
      <c r="BD17" s="290" t="str">
        <f>IF(AZ17="","",(BC17/$BC$16))</f>
        <v/>
      </c>
      <c r="BF17" s="296" t="str">
        <f>IF($E$11=25,(C17/1000),"")</f>
        <v/>
      </c>
      <c r="BG17" s="267" t="str">
        <f>IF(BF17="","",(1/BF17))</f>
        <v/>
      </c>
      <c r="BH17" s="275" t="str">
        <f>IF(BF17="","",$J$10)</f>
        <v/>
      </c>
      <c r="BI17" s="292" t="str">
        <f>IF(BF17="","",((BG17*1000)*BH17))</f>
        <v/>
      </c>
      <c r="BJ17" s="55" t="str">
        <f>IF(BH17="","",(BI17/$BI$16))</f>
        <v/>
      </c>
    </row>
    <row r="18" spans="1:62" ht="13.5" customHeight="1" thickBot="1" x14ac:dyDescent="0.3">
      <c r="A18" s="34" t="b">
        <f t="shared" ref="A18:A79" si="6">ISNUMBER(G18)</f>
        <v>0</v>
      </c>
      <c r="B18" s="61">
        <f>COMPOSITTIONS!A5</f>
        <v>26</v>
      </c>
      <c r="C18" s="282">
        <f>COMPOSITTIONS!B5</f>
        <v>30</v>
      </c>
      <c r="D18" s="284" t="str">
        <f>COMPOSITTIONS!C5</f>
        <v>Avoine rude</v>
      </c>
      <c r="E18" s="276">
        <f t="shared" si="3"/>
        <v>0.03</v>
      </c>
      <c r="F18" s="278" t="e">
        <f t="shared" ref="F18:F19" si="7">O18+X18+AE18+AJ18+AP18+AV18+BB18+BH18</f>
        <v>#REF!</v>
      </c>
      <c r="G18" s="271" t="e">
        <f>IF(F18=0,"0,00",F18/$F$16)</f>
        <v>#REF!</v>
      </c>
      <c r="H18" s="275" t="e">
        <f>(BI18+BC18+AW18+AQ18+AK18+AF18+P18)</f>
        <v>#VALUE!</v>
      </c>
      <c r="I18" s="271" t="e">
        <f>IF(H18=0,"0,00",H18/$H$16)</f>
        <v>#VALUE!</v>
      </c>
      <c r="J18" s="56"/>
      <c r="K18" s="56"/>
      <c r="L18" s="56"/>
      <c r="M18" s="144">
        <f t="shared" ref="M18:M79" si="8">E18</f>
        <v>0.03</v>
      </c>
      <c r="N18" s="58">
        <f>IF($F$3&lt;&gt;"",(HLOOKUP($F$3,COMPOSITTIONS!$D$2:$AA$66,3,FALSE)),"")</f>
        <v>0</v>
      </c>
      <c r="O18" s="54">
        <f t="shared" ref="O18:O79" si="9">((N18/100)*$J$3)</f>
        <v>0</v>
      </c>
      <c r="P18" s="54">
        <f>(O18*1000)/M18</f>
        <v>0</v>
      </c>
      <c r="Q18" s="55" t="e">
        <f>IF(P18=#REF!,"0",(P18/$P$16))</f>
        <v>#REF!</v>
      </c>
      <c r="S18" s="173">
        <f>E18</f>
        <v>0.03</v>
      </c>
      <c r="T18" s="57" t="e">
        <f ca="1">IF(T18=#REF!,"0",$J$4/T18)</f>
        <v>#DIV/0!</v>
      </c>
      <c r="U18" s="57" t="e">
        <f t="shared" ref="U18:U74" si="10">(($J$4*V18)/100)</f>
        <v>#VALUE!</v>
      </c>
      <c r="V18" s="305" t="e">
        <f>IF($F$4&lt;&gt;"",(HLOOKUP($F$4,COMPOSITTIONS!$D$2:$AA$66,5,FALSE)),#REF!)</f>
        <v>#REF!</v>
      </c>
      <c r="W18" s="278" t="e">
        <f>IF($F$4&lt;&gt;"",(HLOOKUP($F$4,COMPOSITTIONS!$D$2:$AA$66,4,FALSE)),#REF!)</f>
        <v>#REF!</v>
      </c>
      <c r="X18" s="278" t="e">
        <f t="shared" ref="X18:X74" si="11">((W18/100)*$J$4)</f>
        <v>#REF!</v>
      </c>
      <c r="Y18" s="57" t="e">
        <f t="shared" si="4"/>
        <v>#REF!</v>
      </c>
      <c r="Z18" s="55" t="e">
        <f>IF(Y18=#REF!,"0",(Y18/$Y$16))</f>
        <v>#REF!</v>
      </c>
      <c r="AB18" s="303" t="str">
        <f>IF($E$6=26,(C18/1000),"")</f>
        <v/>
      </c>
      <c r="AC18" s="282" t="str">
        <f t="shared" ref="AC18:AC79" si="12">IF(AB18="","",(1/AB18))</f>
        <v/>
      </c>
      <c r="AD18" s="278" t="str">
        <f>IF(AB18="","",$J$6)</f>
        <v/>
      </c>
      <c r="AE18" s="302" t="str">
        <f t="shared" si="5"/>
        <v/>
      </c>
      <c r="AF18" s="278" t="str">
        <f t="shared" ref="AF18:AF79" si="13">IF(AB18="","",((AE18/$AE$16)*100))</f>
        <v/>
      </c>
      <c r="AH18" s="303" t="str">
        <f>IF($E$7=26,(C18/1000),"")</f>
        <v/>
      </c>
      <c r="AI18" s="206" t="str">
        <f t="shared" ref="AI18:AI79" si="14">IF(AH18="","",(1/AH18))</f>
        <v/>
      </c>
      <c r="AJ18" s="278" t="str">
        <f t="shared" ref="AJ18:AJ79" si="15">IF(AH18="","",$J$7)</f>
        <v/>
      </c>
      <c r="AK18" s="302" t="str">
        <f t="shared" ref="AK18:AK79" si="16">IF(AH18="","",((AI18*1000)*AJ18))</f>
        <v/>
      </c>
      <c r="AL18" s="278" t="str">
        <f t="shared" ref="AL18:AL79" si="17">IF(AH18="","",((AK18/$AE$16)*100))</f>
        <v/>
      </c>
      <c r="AN18" s="303" t="str">
        <f>IF($E$8=26,(C18/1000),"")</f>
        <v/>
      </c>
      <c r="AO18" s="206" t="str">
        <f t="shared" ref="AO18:AO79" si="18">IF(AN18="","",(1/AN18))</f>
        <v/>
      </c>
      <c r="AP18" s="278" t="str">
        <f t="shared" ref="AP18:AP79" si="19">IF(AN18="","",$J$8)</f>
        <v/>
      </c>
      <c r="AQ18" s="302" t="str">
        <f t="shared" ref="AQ18:AQ79" si="20">IF(AN18="","",((AO18*1000)*AP18))</f>
        <v/>
      </c>
      <c r="AR18" s="278" t="str">
        <f t="shared" ref="AR18:AR79" si="21">IF(AN18="","",((AQ18/$AQ$16)*100))</f>
        <v/>
      </c>
      <c r="AT18" s="203" t="str">
        <f>IF($E$9=26,(C18/1000),"")</f>
        <v/>
      </c>
      <c r="AU18" s="268" t="str">
        <f t="shared" ref="AU18:AU79" si="22">IF(AT18="","",(1/AT18))</f>
        <v/>
      </c>
      <c r="AV18" s="275" t="str">
        <f t="shared" ref="AV18:AV79" si="23">IF(AT18="","",$J$9)</f>
        <v/>
      </c>
      <c r="AW18" s="292" t="str">
        <f t="shared" ref="AW18:AW79" si="24">IF(AT18="","",((AU18*1000)*AV18))</f>
        <v/>
      </c>
      <c r="AX18" s="290" t="str">
        <f t="shared" ref="AX18:AX79" si="25">IF(AT18="","",(AW18/$AW$16))</f>
        <v/>
      </c>
      <c r="AZ18" s="203" t="str">
        <f>IF($E$10=26,(C18/1000),"")</f>
        <v/>
      </c>
      <c r="BA18" s="267" t="str">
        <f t="shared" ref="BA18:BA79" si="26">IF(AZ18="","",(1/AZ18))</f>
        <v/>
      </c>
      <c r="BB18" s="275" t="str">
        <f t="shared" ref="BB18:BB79" si="27">IF(AZ18="","",$J$10)</f>
        <v/>
      </c>
      <c r="BC18" s="292" t="str">
        <f t="shared" ref="BC18:BC79" si="28">IF(AZ18="","",((BA18*1000)*BB18))</f>
        <v/>
      </c>
      <c r="BD18" s="290" t="str">
        <f t="shared" ref="BD18:BD79" si="29">IF(AZ18="","",(BC18/$BC$16))</f>
        <v/>
      </c>
      <c r="BF18" s="296" t="str">
        <f>IF($E$11=26,(C18/1000),"")</f>
        <v/>
      </c>
      <c r="BG18" s="267" t="str">
        <f t="shared" ref="BG18:BG79" si="30">IF(BF18="","",(1/BF18))</f>
        <v/>
      </c>
      <c r="BH18" s="275" t="str">
        <f t="shared" ref="BH18:BH79" si="31">IF(BF18="","",$J$10)</f>
        <v/>
      </c>
      <c r="BI18" s="292" t="str">
        <f t="shared" ref="BI18:BI79" si="32">IF(BF18="","",((BG18*1000)*BH18))</f>
        <v/>
      </c>
      <c r="BJ18" s="55" t="str">
        <f t="shared" ref="BJ18:BJ79" si="33">IF(BH18="","",(BI18/$BI$16))</f>
        <v/>
      </c>
    </row>
    <row r="19" spans="1:62" ht="13.5" customHeight="1" thickBot="1" x14ac:dyDescent="0.3">
      <c r="A19" s="34" t="b">
        <f t="shared" si="6"/>
        <v>0</v>
      </c>
      <c r="B19" s="61">
        <f>COMPOSITTIONS!A6</f>
        <v>27</v>
      </c>
      <c r="C19" s="282">
        <f>COMPOSITTIONS!B6</f>
        <v>1.8</v>
      </c>
      <c r="D19" s="284" t="str">
        <f>COMPOSITTIONS!C6</f>
        <v>Cameline</v>
      </c>
      <c r="E19" s="276">
        <f t="shared" si="3"/>
        <v>1.8E-3</v>
      </c>
      <c r="F19" s="278" t="e">
        <f t="shared" si="7"/>
        <v>#REF!</v>
      </c>
      <c r="G19" s="271" t="e">
        <f t="shared" ref="G19:G79" si="34">IF(F19=0,"0,00",F19/$F$16)</f>
        <v>#REF!</v>
      </c>
      <c r="H19" s="275" t="e">
        <f>(BI19+BC19+AW19+AQ19+AK19+AF19+P19)</f>
        <v>#VALUE!</v>
      </c>
      <c r="I19" s="271" t="e">
        <f t="shared" ref="I19:I79" si="35">IF(H19=0,"0,00",H19/$H$16)</f>
        <v>#VALUE!</v>
      </c>
      <c r="J19" s="56"/>
      <c r="K19" s="56"/>
      <c r="L19" s="56"/>
      <c r="M19" s="144">
        <f t="shared" si="8"/>
        <v>1.8E-3</v>
      </c>
      <c r="N19" s="58">
        <f>IF($F$3&lt;&gt;"",(HLOOKUP($F$3,COMPOSITTIONS!$D$2:$AA$66,3,FALSE)),"")</f>
        <v>0</v>
      </c>
      <c r="O19" s="54">
        <f t="shared" si="9"/>
        <v>0</v>
      </c>
      <c r="P19" s="54">
        <f>(O19*1000)/M19</f>
        <v>0</v>
      </c>
      <c r="Q19" s="55" t="e">
        <f>IF(P19=#REF!,"0",(P19/$P$16))</f>
        <v>#REF!</v>
      </c>
      <c r="S19" s="173">
        <f>E19</f>
        <v>1.8E-3</v>
      </c>
      <c r="T19" s="57" t="e">
        <f ca="1">IF(T19=#REF!,"0",$J$4/T19)</f>
        <v>#DIV/0!</v>
      </c>
      <c r="U19" s="57" t="e">
        <f t="shared" si="10"/>
        <v>#VALUE!</v>
      </c>
      <c r="V19" s="305" t="e">
        <f>IF($F$4&lt;&gt;"",(HLOOKUP($F$4,COMPOSITTIONS!$D$2:$AA$66,5,FALSE)),#REF!)</f>
        <v>#REF!</v>
      </c>
      <c r="W19" s="278" t="e">
        <f>IF($F$4&lt;&gt;"",(HLOOKUP($F$4,COMPOSITTIONS!$D$2:$AA$66,5,FALSE)),#REF!)</f>
        <v>#REF!</v>
      </c>
      <c r="X19" s="278" t="e">
        <f t="shared" si="11"/>
        <v>#REF!</v>
      </c>
      <c r="Y19" s="57" t="e">
        <f t="shared" si="4"/>
        <v>#REF!</v>
      </c>
      <c r="Z19" s="55" t="e">
        <f>IF(Y19=#REF!,"0",(Y19/$Y$16))</f>
        <v>#REF!</v>
      </c>
      <c r="AB19" s="303" t="str">
        <f>IF($E$6=27,(C19/1000),"")</f>
        <v/>
      </c>
      <c r="AC19" s="282" t="str">
        <f t="shared" si="12"/>
        <v/>
      </c>
      <c r="AD19" s="278" t="str">
        <f t="shared" ref="AD19:AD79" si="36">IF(AB19="","",$J$6)</f>
        <v/>
      </c>
      <c r="AE19" s="302" t="str">
        <f t="shared" si="5"/>
        <v/>
      </c>
      <c r="AF19" s="278" t="str">
        <f t="shared" si="13"/>
        <v/>
      </c>
      <c r="AH19" s="303" t="str">
        <f>IF($E$7=27,(C19/1000),"")</f>
        <v/>
      </c>
      <c r="AI19" s="206" t="str">
        <f t="shared" si="14"/>
        <v/>
      </c>
      <c r="AJ19" s="278" t="str">
        <f t="shared" si="15"/>
        <v/>
      </c>
      <c r="AK19" s="302" t="str">
        <f t="shared" si="16"/>
        <v/>
      </c>
      <c r="AL19" s="278" t="str">
        <f t="shared" si="17"/>
        <v/>
      </c>
      <c r="AN19" s="303" t="str">
        <f>IF($E$8=27,(C19/1000),"")</f>
        <v/>
      </c>
      <c r="AO19" s="206" t="str">
        <f t="shared" si="18"/>
        <v/>
      </c>
      <c r="AP19" s="278" t="str">
        <f t="shared" si="19"/>
        <v/>
      </c>
      <c r="AQ19" s="302" t="str">
        <f t="shared" si="20"/>
        <v/>
      </c>
      <c r="AR19" s="278" t="str">
        <f t="shared" si="21"/>
        <v/>
      </c>
      <c r="AT19" s="203" t="str">
        <f>IF($E$9=27,(C19/1000),"")</f>
        <v/>
      </c>
      <c r="AU19" s="268" t="str">
        <f t="shared" si="22"/>
        <v/>
      </c>
      <c r="AV19" s="275" t="str">
        <f t="shared" si="23"/>
        <v/>
      </c>
      <c r="AW19" s="292" t="str">
        <f t="shared" si="24"/>
        <v/>
      </c>
      <c r="AX19" s="290" t="str">
        <f t="shared" si="25"/>
        <v/>
      </c>
      <c r="AZ19" s="203" t="str">
        <f>IF($E$10=27,(C19/1000),"")</f>
        <v/>
      </c>
      <c r="BA19" s="267" t="str">
        <f t="shared" si="26"/>
        <v/>
      </c>
      <c r="BB19" s="275" t="str">
        <f t="shared" si="27"/>
        <v/>
      </c>
      <c r="BC19" s="292" t="str">
        <f t="shared" si="28"/>
        <v/>
      </c>
      <c r="BD19" s="290" t="str">
        <f t="shared" si="29"/>
        <v/>
      </c>
      <c r="BF19" s="296" t="str">
        <f>IF($E$11=27,(C19/1000),"")</f>
        <v/>
      </c>
      <c r="BG19" s="267" t="str">
        <f t="shared" si="30"/>
        <v/>
      </c>
      <c r="BH19" s="275" t="str">
        <f t="shared" si="31"/>
        <v/>
      </c>
      <c r="BI19" s="292" t="str">
        <f t="shared" si="32"/>
        <v/>
      </c>
      <c r="BJ19" s="55" t="str">
        <f t="shared" si="33"/>
        <v/>
      </c>
    </row>
    <row r="20" spans="1:62" ht="13.5" customHeight="1" thickBot="1" x14ac:dyDescent="0.3">
      <c r="A20" s="34" t="b">
        <f t="shared" si="6"/>
        <v>0</v>
      </c>
      <c r="B20" s="61">
        <f>COMPOSITTIONS!A7</f>
        <v>28</v>
      </c>
      <c r="C20" s="282">
        <f>COMPOSITTIONS!B7</f>
        <v>1.3</v>
      </c>
      <c r="D20" s="284" t="str">
        <f>COMPOSITTIONS!C7</f>
        <v>Chicorée</v>
      </c>
      <c r="E20" s="276">
        <f t="shared" si="3"/>
        <v>1.2999999999999999E-3</v>
      </c>
      <c r="F20" s="278" t="e">
        <f>(#REF!+O20+AE20+AJ20+AP20+AV20+BB20+BH20+X20)</f>
        <v>#REF!</v>
      </c>
      <c r="G20" s="271" t="e">
        <f t="shared" si="34"/>
        <v>#REF!</v>
      </c>
      <c r="H20" s="275" t="e">
        <f>(BI20+BC20+AW20+AQ20+AK20+AF20+P20)</f>
        <v>#VALUE!</v>
      </c>
      <c r="I20" s="271" t="e">
        <f t="shared" si="35"/>
        <v>#VALUE!</v>
      </c>
      <c r="J20" s="56"/>
      <c r="K20" s="56"/>
      <c r="L20" s="56"/>
      <c r="M20" s="144">
        <f t="shared" si="8"/>
        <v>1.2999999999999999E-3</v>
      </c>
      <c r="N20" s="58">
        <f>IF($F$3&lt;&gt;"",(HLOOKUP($F$3,COMPOSITTIONS!$D$2:$AA$66,3,FALSE)),"")</f>
        <v>0</v>
      </c>
      <c r="O20" s="54">
        <f t="shared" si="9"/>
        <v>0</v>
      </c>
      <c r="P20" s="54">
        <f>(O20*1000)/M20</f>
        <v>0</v>
      </c>
      <c r="Q20" s="55" t="e">
        <f>IF(P20=#REF!,"0",(P20/$P$16))</f>
        <v>#REF!</v>
      </c>
      <c r="S20" s="173">
        <f>E20</f>
        <v>1.2999999999999999E-3</v>
      </c>
      <c r="T20" s="57" t="e">
        <f ca="1">IF(T20=#REF!,"0",$J$4/T20)</f>
        <v>#DIV/0!</v>
      </c>
      <c r="U20" s="57" t="e">
        <f t="shared" si="10"/>
        <v>#VALUE!</v>
      </c>
      <c r="V20" s="305" t="e">
        <f>IF($F$4&lt;&gt;"",(HLOOKUP($F$4,COMPOSITTIONS!$D$2:$AA$66,6,FALSE)),#REF!)</f>
        <v>#REF!</v>
      </c>
      <c r="W20" s="278" t="e">
        <f>IF($F$4&lt;&gt;"",(HLOOKUP($F$4,COMPOSITTIONS!$D$2:$AA$66,6,FALSE)),#REF!)</f>
        <v>#REF!</v>
      </c>
      <c r="X20" s="278" t="e">
        <f t="shared" si="11"/>
        <v>#REF!</v>
      </c>
      <c r="Y20" s="57" t="e">
        <f t="shared" si="4"/>
        <v>#REF!</v>
      </c>
      <c r="Z20" s="55" t="e">
        <f>IF(Y20=#REF!,"0",(Y20/$Y$16))</f>
        <v>#REF!</v>
      </c>
      <c r="AB20" s="303" t="str">
        <f>IF($E$6=28,(C20/1000),"")</f>
        <v/>
      </c>
      <c r="AC20" s="282" t="str">
        <f t="shared" si="12"/>
        <v/>
      </c>
      <c r="AD20" s="278" t="str">
        <f t="shared" si="36"/>
        <v/>
      </c>
      <c r="AE20" s="302" t="str">
        <f t="shared" si="5"/>
        <v/>
      </c>
      <c r="AF20" s="278" t="str">
        <f t="shared" si="13"/>
        <v/>
      </c>
      <c r="AH20" s="303" t="str">
        <f>IF($E$7=28,(C20/1000),"")</f>
        <v/>
      </c>
      <c r="AI20" s="206" t="str">
        <f t="shared" si="14"/>
        <v/>
      </c>
      <c r="AJ20" s="278" t="str">
        <f t="shared" si="15"/>
        <v/>
      </c>
      <c r="AK20" s="302" t="str">
        <f t="shared" si="16"/>
        <v/>
      </c>
      <c r="AL20" s="278" t="str">
        <f t="shared" si="17"/>
        <v/>
      </c>
      <c r="AN20" s="303" t="str">
        <f>IF($E$8=28,(C20/1000),"")</f>
        <v/>
      </c>
      <c r="AO20" s="206" t="str">
        <f t="shared" si="18"/>
        <v/>
      </c>
      <c r="AP20" s="278" t="str">
        <f t="shared" si="19"/>
        <v/>
      </c>
      <c r="AQ20" s="302" t="str">
        <f t="shared" si="20"/>
        <v/>
      </c>
      <c r="AR20" s="278" t="str">
        <f t="shared" si="21"/>
        <v/>
      </c>
      <c r="AT20" s="203" t="str">
        <f>IF($E$9=28,(C20/1000),"")</f>
        <v/>
      </c>
      <c r="AU20" s="268" t="str">
        <f t="shared" si="22"/>
        <v/>
      </c>
      <c r="AV20" s="275" t="str">
        <f t="shared" si="23"/>
        <v/>
      </c>
      <c r="AW20" s="292" t="str">
        <f t="shared" si="24"/>
        <v/>
      </c>
      <c r="AX20" s="290" t="str">
        <f t="shared" si="25"/>
        <v/>
      </c>
      <c r="AZ20" s="203" t="str">
        <f>IF($E$10=28,(C20/1000),"")</f>
        <v/>
      </c>
      <c r="BA20" s="267" t="str">
        <f t="shared" si="26"/>
        <v/>
      </c>
      <c r="BB20" s="275" t="str">
        <f t="shared" si="27"/>
        <v/>
      </c>
      <c r="BC20" s="292" t="str">
        <f t="shared" si="28"/>
        <v/>
      </c>
      <c r="BD20" s="290" t="str">
        <f t="shared" si="29"/>
        <v/>
      </c>
      <c r="BF20" s="296" t="str">
        <f>IF($E$11=28,(C20/1000),"")</f>
        <v/>
      </c>
      <c r="BG20" s="267" t="str">
        <f t="shared" si="30"/>
        <v/>
      </c>
      <c r="BH20" s="275" t="str">
        <f t="shared" si="31"/>
        <v/>
      </c>
      <c r="BI20" s="292" t="str">
        <f t="shared" si="32"/>
        <v/>
      </c>
      <c r="BJ20" s="55" t="str">
        <f t="shared" si="33"/>
        <v/>
      </c>
    </row>
    <row r="21" spans="1:62" ht="13.5" customHeight="1" thickBot="1" x14ac:dyDescent="0.3">
      <c r="A21" s="34" t="b">
        <f t="shared" si="6"/>
        <v>0</v>
      </c>
      <c r="B21" s="61">
        <f>COMPOSITTIONS!A8</f>
        <v>29</v>
      </c>
      <c r="C21" s="282">
        <f>COMPOSITTIONS!B8</f>
        <v>6</v>
      </c>
      <c r="D21" s="284" t="str">
        <f>COMPOSITTIONS!C8</f>
        <v>Colza fourrager</v>
      </c>
      <c r="E21" s="276">
        <f t="shared" si="3"/>
        <v>6.0000000000000001E-3</v>
      </c>
      <c r="F21" s="278" t="e">
        <f>(#REF!+O21+AE21+AJ21+AP21+AV21+BB21+BH21+X21)</f>
        <v>#REF!</v>
      </c>
      <c r="G21" s="271" t="e">
        <f t="shared" si="34"/>
        <v>#REF!</v>
      </c>
      <c r="H21" s="275" t="e">
        <f>(BI21+BC21+AW21+AQ21+AK21+AF21+P21)</f>
        <v>#VALUE!</v>
      </c>
      <c r="I21" s="271" t="e">
        <f t="shared" si="35"/>
        <v>#VALUE!</v>
      </c>
      <c r="J21" s="56"/>
      <c r="K21" s="56"/>
      <c r="L21" s="56"/>
      <c r="M21" s="144">
        <f t="shared" si="8"/>
        <v>6.0000000000000001E-3</v>
      </c>
      <c r="N21" s="58">
        <f>IF($F$3&lt;&gt;"",(HLOOKUP($F$3,COMPOSITTIONS!$D$2:$AA$66,3,FALSE)),"")</f>
        <v>0</v>
      </c>
      <c r="O21" s="54">
        <f t="shared" si="9"/>
        <v>0</v>
      </c>
      <c r="P21" s="54">
        <f>(O21*1000)/M21</f>
        <v>0</v>
      </c>
      <c r="Q21" s="55" t="e">
        <f>IF(P21=#REF!,"0",(P21/$P$16))</f>
        <v>#REF!</v>
      </c>
      <c r="S21" s="173">
        <f>E21</f>
        <v>6.0000000000000001E-3</v>
      </c>
      <c r="T21" s="57" t="e">
        <f ca="1">IF(T21=#REF!,"0",$J$4/T21)</f>
        <v>#DIV/0!</v>
      </c>
      <c r="U21" s="57" t="e">
        <f t="shared" si="10"/>
        <v>#VALUE!</v>
      </c>
      <c r="V21" s="305" t="e">
        <f>IF($F$4&lt;&gt;"",(HLOOKUP($F$4,COMPOSITTIONS!$D$2:$AA$66,7,FALSE)),#REF!)</f>
        <v>#REF!</v>
      </c>
      <c r="W21" s="278" t="e">
        <f>IF($F$4&lt;&gt;"",(HLOOKUP($F$4,COMPOSITTIONS!$D$2:$AA$66,7,FALSE)),#REF!)</f>
        <v>#REF!</v>
      </c>
      <c r="X21" s="278" t="e">
        <f t="shared" si="11"/>
        <v>#REF!</v>
      </c>
      <c r="Y21" s="57" t="e">
        <f t="shared" si="4"/>
        <v>#REF!</v>
      </c>
      <c r="Z21" s="55" t="e">
        <f>IF(Y21=#REF!,"0",(Y21/$Y$16))</f>
        <v>#REF!</v>
      </c>
      <c r="AB21" s="303" t="str">
        <f>IF($E$6=29,(C21/1000),"")</f>
        <v/>
      </c>
      <c r="AC21" s="282" t="str">
        <f t="shared" si="12"/>
        <v/>
      </c>
      <c r="AD21" s="278" t="str">
        <f t="shared" si="36"/>
        <v/>
      </c>
      <c r="AE21" s="302" t="str">
        <f t="shared" si="5"/>
        <v/>
      </c>
      <c r="AF21" s="278" t="str">
        <f t="shared" si="13"/>
        <v/>
      </c>
      <c r="AH21" s="303" t="str">
        <f>IF($E$7=29,(C21/1000),"")</f>
        <v/>
      </c>
      <c r="AI21" s="206" t="str">
        <f t="shared" si="14"/>
        <v/>
      </c>
      <c r="AJ21" s="278" t="str">
        <f t="shared" si="15"/>
        <v/>
      </c>
      <c r="AK21" s="302" t="str">
        <f t="shared" si="16"/>
        <v/>
      </c>
      <c r="AL21" s="278" t="str">
        <f t="shared" si="17"/>
        <v/>
      </c>
      <c r="AN21" s="303" t="str">
        <f>IF($E$8=29,(C21/1000),"")</f>
        <v/>
      </c>
      <c r="AO21" s="206" t="str">
        <f t="shared" si="18"/>
        <v/>
      </c>
      <c r="AP21" s="278" t="str">
        <f t="shared" si="19"/>
        <v/>
      </c>
      <c r="AQ21" s="302" t="str">
        <f t="shared" si="20"/>
        <v/>
      </c>
      <c r="AR21" s="278" t="str">
        <f t="shared" si="21"/>
        <v/>
      </c>
      <c r="AT21" s="203" t="str">
        <f>IF($E$9=29,(C21/1000),"")</f>
        <v/>
      </c>
      <c r="AU21" s="268" t="str">
        <f t="shared" si="22"/>
        <v/>
      </c>
      <c r="AV21" s="275" t="str">
        <f t="shared" si="23"/>
        <v/>
      </c>
      <c r="AW21" s="292" t="str">
        <f t="shared" si="24"/>
        <v/>
      </c>
      <c r="AX21" s="290" t="str">
        <f t="shared" si="25"/>
        <v/>
      </c>
      <c r="AZ21" s="203" t="str">
        <f>IF($E$10=29,(C21/1000),"")</f>
        <v/>
      </c>
      <c r="BA21" s="267" t="str">
        <f t="shared" si="26"/>
        <v/>
      </c>
      <c r="BB21" s="275" t="str">
        <f t="shared" si="27"/>
        <v/>
      </c>
      <c r="BC21" s="292" t="str">
        <f t="shared" si="28"/>
        <v/>
      </c>
      <c r="BD21" s="290" t="str">
        <f t="shared" si="29"/>
        <v/>
      </c>
      <c r="BF21" s="296" t="str">
        <f>IF($E$11=29,(C21/1000),"")</f>
        <v/>
      </c>
      <c r="BG21" s="267" t="str">
        <f t="shared" si="30"/>
        <v/>
      </c>
      <c r="BH21" s="275" t="str">
        <f t="shared" si="31"/>
        <v/>
      </c>
      <c r="BI21" s="292" t="str">
        <f t="shared" si="32"/>
        <v/>
      </c>
      <c r="BJ21" s="55" t="str">
        <f t="shared" si="33"/>
        <v/>
      </c>
    </row>
    <row r="22" spans="1:62" ht="13.5" customHeight="1" thickBot="1" x14ac:dyDescent="0.3">
      <c r="A22" s="34" t="b">
        <f t="shared" si="6"/>
        <v>0</v>
      </c>
      <c r="B22" s="61">
        <f>COMPOSITTIONS!A9</f>
        <v>30</v>
      </c>
      <c r="C22" s="282">
        <f>COMPOSITTIONS!B9</f>
        <v>0.5</v>
      </c>
      <c r="D22" s="284" t="str">
        <f>COMPOSITTIONS!C9</f>
        <v>Cretelle des prés</v>
      </c>
      <c r="E22" s="276">
        <f t="shared" si="3"/>
        <v>5.0000000000000001E-4</v>
      </c>
      <c r="F22" s="278" t="e">
        <f>(#REF!+O22+AE22+AJ22+AP22+AV22+BB22+BH22+X22)</f>
        <v>#REF!</v>
      </c>
      <c r="G22" s="271" t="e">
        <f t="shared" si="34"/>
        <v>#REF!</v>
      </c>
      <c r="H22" s="275" t="e">
        <f>(BI22+BC22+AW22+AQ22+AK22+AF22+P22)</f>
        <v>#VALUE!</v>
      </c>
      <c r="I22" s="271" t="e">
        <f t="shared" si="35"/>
        <v>#VALUE!</v>
      </c>
      <c r="J22" s="56"/>
      <c r="K22" s="56"/>
      <c r="L22" s="56"/>
      <c r="M22" s="144">
        <f t="shared" si="8"/>
        <v>5.0000000000000001E-4</v>
      </c>
      <c r="N22" s="58">
        <f>IF($F$3&lt;&gt;"",(HLOOKUP($F$3,COMPOSITTIONS!$D$2:$AA$66,8,FALSE)),#REF!)</f>
        <v>0</v>
      </c>
      <c r="O22" s="54">
        <f t="shared" si="9"/>
        <v>0</v>
      </c>
      <c r="P22" s="54">
        <f>(O22*1000)/M22</f>
        <v>0</v>
      </c>
      <c r="Q22" s="55" t="e">
        <f>IF(P22=#REF!,"0",(P22/$P$16))</f>
        <v>#REF!</v>
      </c>
      <c r="S22" s="173">
        <f>E22</f>
        <v>5.0000000000000001E-4</v>
      </c>
      <c r="T22" s="57" t="e">
        <f ca="1">IF(T22=#REF!,"0",$J$4/T22)</f>
        <v>#DIV/0!</v>
      </c>
      <c r="U22" s="57" t="e">
        <f t="shared" si="10"/>
        <v>#VALUE!</v>
      </c>
      <c r="V22" s="305" t="e">
        <f>IF($F$4&lt;&gt;"",(HLOOKUP($F$4,COMPOSITTIONS!$D$2:$AA$66,8,FALSE)),#REF!)</f>
        <v>#REF!</v>
      </c>
      <c r="W22" s="278" t="e">
        <f>IF($F$4&lt;&gt;"",(HLOOKUP($F$4,COMPOSITTIONS!$D$2:$AA$66,8,FALSE)),#REF!)</f>
        <v>#REF!</v>
      </c>
      <c r="X22" s="278" t="e">
        <f t="shared" si="11"/>
        <v>#REF!</v>
      </c>
      <c r="Y22" s="57" t="e">
        <f t="shared" si="4"/>
        <v>#REF!</v>
      </c>
      <c r="Z22" s="55" t="e">
        <f>IF(Y22=#REF!,"0",(Y22/$Y$16))</f>
        <v>#REF!</v>
      </c>
      <c r="AB22" s="303" t="str">
        <f>IF($E$6=30,(C22/1000),"")</f>
        <v/>
      </c>
      <c r="AC22" s="282" t="str">
        <f t="shared" si="12"/>
        <v/>
      </c>
      <c r="AD22" s="278" t="str">
        <f t="shared" si="36"/>
        <v/>
      </c>
      <c r="AE22" s="302" t="str">
        <f t="shared" si="5"/>
        <v/>
      </c>
      <c r="AF22" s="278" t="str">
        <f t="shared" si="13"/>
        <v/>
      </c>
      <c r="AH22" s="303" t="str">
        <f>IF($E$7=30,(C22/1000),"")</f>
        <v/>
      </c>
      <c r="AI22" s="206" t="str">
        <f t="shared" si="14"/>
        <v/>
      </c>
      <c r="AJ22" s="278" t="str">
        <f t="shared" si="15"/>
        <v/>
      </c>
      <c r="AK22" s="302" t="str">
        <f t="shared" si="16"/>
        <v/>
      </c>
      <c r="AL22" s="278" t="str">
        <f t="shared" si="17"/>
        <v/>
      </c>
      <c r="AN22" s="303" t="str">
        <f>IF($E$8=30,(C22/1000),"")</f>
        <v/>
      </c>
      <c r="AO22" s="206" t="str">
        <f t="shared" si="18"/>
        <v/>
      </c>
      <c r="AP22" s="278" t="str">
        <f t="shared" si="19"/>
        <v/>
      </c>
      <c r="AQ22" s="302" t="str">
        <f t="shared" si="20"/>
        <v/>
      </c>
      <c r="AR22" s="278" t="str">
        <f t="shared" si="21"/>
        <v/>
      </c>
      <c r="AT22" s="203" t="str">
        <f>IF($E$9=30,(C22/1000),"")</f>
        <v/>
      </c>
      <c r="AU22" s="268" t="str">
        <f t="shared" si="22"/>
        <v/>
      </c>
      <c r="AV22" s="275" t="str">
        <f t="shared" si="23"/>
        <v/>
      </c>
      <c r="AW22" s="292" t="str">
        <f t="shared" si="24"/>
        <v/>
      </c>
      <c r="AX22" s="290" t="str">
        <f t="shared" si="25"/>
        <v/>
      </c>
      <c r="AZ22" s="203" t="str">
        <f>IF($E$10=30,(C22/1000),"")</f>
        <v/>
      </c>
      <c r="BA22" s="267" t="str">
        <f t="shared" si="26"/>
        <v/>
      </c>
      <c r="BB22" s="275" t="str">
        <f t="shared" si="27"/>
        <v/>
      </c>
      <c r="BC22" s="292" t="str">
        <f t="shared" si="28"/>
        <v/>
      </c>
      <c r="BD22" s="290" t="str">
        <f t="shared" si="29"/>
        <v/>
      </c>
      <c r="BF22" s="296" t="str">
        <f>IF($E$11=30,(C22/1000),"")</f>
        <v/>
      </c>
      <c r="BG22" s="267" t="str">
        <f t="shared" si="30"/>
        <v/>
      </c>
      <c r="BH22" s="275" t="str">
        <f t="shared" si="31"/>
        <v/>
      </c>
      <c r="BI22" s="292" t="str">
        <f t="shared" si="32"/>
        <v/>
      </c>
      <c r="BJ22" s="55" t="str">
        <f t="shared" si="33"/>
        <v/>
      </c>
    </row>
    <row r="23" spans="1:62" ht="13.5" customHeight="1" thickBot="1" x14ac:dyDescent="0.3">
      <c r="A23" s="34" t="b">
        <f t="shared" si="6"/>
        <v>0</v>
      </c>
      <c r="B23" s="61">
        <f>COMPOSITTIONS!A10</f>
        <v>31</v>
      </c>
      <c r="C23" s="282">
        <f>COMPOSITTIONS!B10</f>
        <v>1.07</v>
      </c>
      <c r="D23" s="284" t="str">
        <f>COMPOSITTIONS!C10</f>
        <v>Dactyle</v>
      </c>
      <c r="E23" s="276">
        <f t="shared" si="3"/>
        <v>1.07E-3</v>
      </c>
      <c r="F23" s="278" t="e">
        <f>(#REF!+O23+AE23+AJ23+AP23+AV23+BB23+BH23+X23)</f>
        <v>#REF!</v>
      </c>
      <c r="G23" s="271" t="e">
        <f t="shared" si="34"/>
        <v>#REF!</v>
      </c>
      <c r="H23" s="275" t="e">
        <f>(BI23+BC23+AW23+AQ23+AK23+AF23+P23)</f>
        <v>#VALUE!</v>
      </c>
      <c r="I23" s="271" t="e">
        <f t="shared" si="35"/>
        <v>#VALUE!</v>
      </c>
      <c r="J23" s="56"/>
      <c r="K23" s="56"/>
      <c r="L23" s="56"/>
      <c r="M23" s="144">
        <f t="shared" si="8"/>
        <v>1.07E-3</v>
      </c>
      <c r="N23" s="58">
        <f>IF($F$3&lt;&gt;"",(HLOOKUP($F$3,COMPOSITTIONS!$D$2:$AA$66,9,FALSE)),"")</f>
        <v>25</v>
      </c>
      <c r="O23" s="54">
        <f t="shared" si="9"/>
        <v>1.25</v>
      </c>
      <c r="P23" s="54">
        <f>(O23*1000)/M23</f>
        <v>1168224.2990654206</v>
      </c>
      <c r="Q23" s="55" t="e">
        <f>IF(P23=#REF!,"0",(P23/$P$16))</f>
        <v>#REF!</v>
      </c>
      <c r="S23" s="173">
        <f>E23</f>
        <v>1.07E-3</v>
      </c>
      <c r="T23" s="57" t="e">
        <f ca="1">IF(T23=#REF!,"0",$J$4/T23)</f>
        <v>#DIV/0!</v>
      </c>
      <c r="U23" s="57" t="e">
        <f t="shared" si="10"/>
        <v>#VALUE!</v>
      </c>
      <c r="V23" s="305" t="e">
        <f>IF($F$4&lt;&gt;"",(HLOOKUP($F$4,COMPOSITTIONS!$D$2:$AA$66,9,FALSE)),#REF!)</f>
        <v>#REF!</v>
      </c>
      <c r="W23" s="278" t="e">
        <f>IF($F$4&lt;&gt;"",(HLOOKUP($F$4,COMPOSITTIONS!$D$2:$AA$66,9,FALSE)),#REF!)</f>
        <v>#REF!</v>
      </c>
      <c r="X23" s="278" t="e">
        <f t="shared" si="11"/>
        <v>#REF!</v>
      </c>
      <c r="Y23" s="57" t="e">
        <f t="shared" si="4"/>
        <v>#REF!</v>
      </c>
      <c r="Z23" s="55" t="e">
        <f>IF(Y23=#REF!,"0",(Y23/$Y$16))</f>
        <v>#REF!</v>
      </c>
      <c r="AB23" s="303" t="str">
        <f>IF($E$6=31,(C23/1000),"")</f>
        <v/>
      </c>
      <c r="AC23" s="282" t="str">
        <f t="shared" si="12"/>
        <v/>
      </c>
      <c r="AD23" s="278" t="str">
        <f t="shared" si="36"/>
        <v/>
      </c>
      <c r="AE23" s="302" t="str">
        <f t="shared" si="5"/>
        <v/>
      </c>
      <c r="AF23" s="278" t="str">
        <f t="shared" si="13"/>
        <v/>
      </c>
      <c r="AH23" s="303" t="str">
        <f>IF($E$7=31,(C23/1000),"")</f>
        <v/>
      </c>
      <c r="AI23" s="206" t="str">
        <f t="shared" si="14"/>
        <v/>
      </c>
      <c r="AJ23" s="278" t="str">
        <f t="shared" si="15"/>
        <v/>
      </c>
      <c r="AK23" s="302" t="str">
        <f t="shared" si="16"/>
        <v/>
      </c>
      <c r="AL23" s="278" t="str">
        <f t="shared" si="17"/>
        <v/>
      </c>
      <c r="AN23" s="303" t="str">
        <f>IF($E$8=31,(C23/1000),"")</f>
        <v/>
      </c>
      <c r="AO23" s="206" t="str">
        <f t="shared" si="18"/>
        <v/>
      </c>
      <c r="AP23" s="278" t="str">
        <f t="shared" si="19"/>
        <v/>
      </c>
      <c r="AQ23" s="302" t="str">
        <f t="shared" si="20"/>
        <v/>
      </c>
      <c r="AR23" s="278" t="str">
        <f t="shared" si="21"/>
        <v/>
      </c>
      <c r="AT23" s="203" t="str">
        <f>IF($E$9=31,(C23/1000),"")</f>
        <v/>
      </c>
      <c r="AU23" s="268" t="str">
        <f t="shared" si="22"/>
        <v/>
      </c>
      <c r="AV23" s="275" t="str">
        <f t="shared" si="23"/>
        <v/>
      </c>
      <c r="AW23" s="292" t="str">
        <f t="shared" si="24"/>
        <v/>
      </c>
      <c r="AX23" s="290" t="str">
        <f t="shared" si="25"/>
        <v/>
      </c>
      <c r="AZ23" s="203" t="str">
        <f>IF($E$10=31,(C23/1000),"")</f>
        <v/>
      </c>
      <c r="BA23" s="267" t="str">
        <f t="shared" si="26"/>
        <v/>
      </c>
      <c r="BB23" s="275" t="str">
        <f t="shared" si="27"/>
        <v/>
      </c>
      <c r="BC23" s="292" t="str">
        <f t="shared" si="28"/>
        <v/>
      </c>
      <c r="BD23" s="290" t="str">
        <f t="shared" si="29"/>
        <v/>
      </c>
      <c r="BF23" s="296" t="str">
        <f>IF($E$11=31,(C23/1000),"")</f>
        <v/>
      </c>
      <c r="BG23" s="267" t="str">
        <f t="shared" si="30"/>
        <v/>
      </c>
      <c r="BH23" s="275" t="str">
        <f t="shared" si="31"/>
        <v/>
      </c>
      <c r="BI23" s="292" t="str">
        <f t="shared" si="32"/>
        <v/>
      </c>
      <c r="BJ23" s="55" t="str">
        <f t="shared" si="33"/>
        <v/>
      </c>
    </row>
    <row r="24" spans="1:62" ht="13.5" customHeight="1" thickBot="1" x14ac:dyDescent="0.3">
      <c r="A24" s="34" t="b">
        <f t="shared" si="6"/>
        <v>0</v>
      </c>
      <c r="B24" s="61">
        <f>COMPOSITTIONS!A11</f>
        <v>32</v>
      </c>
      <c r="C24" s="282">
        <f>COMPOSITTIONS!B11</f>
        <v>16</v>
      </c>
      <c r="D24" s="284" t="str">
        <f>COMPOSITTIONS!C11</f>
        <v>Fenugrec</v>
      </c>
      <c r="E24" s="276">
        <f t="shared" si="3"/>
        <v>1.6E-2</v>
      </c>
      <c r="F24" s="278" t="e">
        <f>(#REF!+O24+AE24+AJ24+AP24+AV24+BB24+BH24+X24)</f>
        <v>#REF!</v>
      </c>
      <c r="G24" s="271" t="e">
        <f t="shared" si="34"/>
        <v>#REF!</v>
      </c>
      <c r="H24" s="275" t="e">
        <f>(BI24+BC24+AW24+AQ24+AK24+AF24+P24)</f>
        <v>#VALUE!</v>
      </c>
      <c r="I24" s="271" t="e">
        <f t="shared" si="35"/>
        <v>#VALUE!</v>
      </c>
      <c r="J24" s="56"/>
      <c r="K24" s="56"/>
      <c r="L24" s="56"/>
      <c r="M24" s="144">
        <f t="shared" si="8"/>
        <v>1.6E-2</v>
      </c>
      <c r="N24" s="58">
        <f>IF($F$3&lt;&gt;"",(HLOOKUP($F$3,COMPOSITTIONS!$D$2:$AA$66,10,FALSE)),#REF!)</f>
        <v>0</v>
      </c>
      <c r="O24" s="54">
        <f t="shared" si="9"/>
        <v>0</v>
      </c>
      <c r="P24" s="54">
        <f>(O24*1000)/M24</f>
        <v>0</v>
      </c>
      <c r="Q24" s="55" t="e">
        <f>IF(P24=#REF!,"0",(P24/$P$16))</f>
        <v>#REF!</v>
      </c>
      <c r="S24" s="173">
        <f>E24</f>
        <v>1.6E-2</v>
      </c>
      <c r="T24" s="57" t="e">
        <f ca="1">IF(T24=#REF!,"0",$J$4/T24)</f>
        <v>#DIV/0!</v>
      </c>
      <c r="U24" s="57" t="e">
        <f t="shared" si="10"/>
        <v>#VALUE!</v>
      </c>
      <c r="V24" s="305" t="e">
        <f>IF($E$4&gt;10,HLOOKUP($E$4,COMPOSITTIONS!A:V,4,FALSE),#REF!)</f>
        <v>#N/A</v>
      </c>
      <c r="W24" s="278" t="e">
        <f>IF($F$4&lt;&gt;"",(HLOOKUP($F$4,COMPOSITTIONS!$D$2:$AA$66,10,FALSE)),#REF!)</f>
        <v>#REF!</v>
      </c>
      <c r="X24" s="278" t="e">
        <f t="shared" si="11"/>
        <v>#REF!</v>
      </c>
      <c r="Y24" s="57" t="e">
        <f t="shared" si="4"/>
        <v>#REF!</v>
      </c>
      <c r="Z24" s="55" t="e">
        <f>IF(Y24=#REF!,"0",(Y24/$Y$16))</f>
        <v>#REF!</v>
      </c>
      <c r="AB24" s="303" t="str">
        <f>IF($E$6=32,(C24/1000),"")</f>
        <v/>
      </c>
      <c r="AC24" s="282" t="str">
        <f t="shared" si="12"/>
        <v/>
      </c>
      <c r="AD24" s="278" t="str">
        <f t="shared" si="36"/>
        <v/>
      </c>
      <c r="AE24" s="302" t="str">
        <f t="shared" si="5"/>
        <v/>
      </c>
      <c r="AF24" s="278" t="str">
        <f t="shared" si="13"/>
        <v/>
      </c>
      <c r="AH24" s="303" t="str">
        <f>IF($E$7=32,(C24/1000),"")</f>
        <v/>
      </c>
      <c r="AI24" s="206" t="str">
        <f t="shared" si="14"/>
        <v/>
      </c>
      <c r="AJ24" s="278" t="str">
        <f t="shared" si="15"/>
        <v/>
      </c>
      <c r="AK24" s="302" t="str">
        <f t="shared" si="16"/>
        <v/>
      </c>
      <c r="AL24" s="278" t="str">
        <f t="shared" si="17"/>
        <v/>
      </c>
      <c r="AN24" s="303" t="str">
        <f>IF($E$8=32,(C24/1000),"")</f>
        <v/>
      </c>
      <c r="AO24" s="206" t="str">
        <f t="shared" si="18"/>
        <v/>
      </c>
      <c r="AP24" s="278" t="str">
        <f t="shared" si="19"/>
        <v/>
      </c>
      <c r="AQ24" s="302" t="str">
        <f t="shared" si="20"/>
        <v/>
      </c>
      <c r="AR24" s="278" t="str">
        <f t="shared" si="21"/>
        <v/>
      </c>
      <c r="AT24" s="203" t="str">
        <f>IF($E$9=32,(C24/1000),"")</f>
        <v/>
      </c>
      <c r="AU24" s="268" t="str">
        <f t="shared" si="22"/>
        <v/>
      </c>
      <c r="AV24" s="275" t="str">
        <f t="shared" si="23"/>
        <v/>
      </c>
      <c r="AW24" s="292" t="str">
        <f t="shared" si="24"/>
        <v/>
      </c>
      <c r="AX24" s="290" t="str">
        <f t="shared" si="25"/>
        <v/>
      </c>
      <c r="AZ24" s="203" t="str">
        <f>IF($E$10=32,(C24/1000),"")</f>
        <v/>
      </c>
      <c r="BA24" s="267" t="str">
        <f t="shared" si="26"/>
        <v/>
      </c>
      <c r="BB24" s="275" t="str">
        <f t="shared" si="27"/>
        <v/>
      </c>
      <c r="BC24" s="292" t="str">
        <f t="shared" si="28"/>
        <v/>
      </c>
      <c r="BD24" s="290" t="str">
        <f t="shared" si="29"/>
        <v/>
      </c>
      <c r="BF24" s="296" t="str">
        <f>IF($E$11=32,(C24/1000),"")</f>
        <v/>
      </c>
      <c r="BG24" s="267" t="str">
        <f t="shared" si="30"/>
        <v/>
      </c>
      <c r="BH24" s="275" t="str">
        <f t="shared" si="31"/>
        <v/>
      </c>
      <c r="BI24" s="292" t="str">
        <f t="shared" si="32"/>
        <v/>
      </c>
      <c r="BJ24" s="55" t="str">
        <f t="shared" si="33"/>
        <v/>
      </c>
    </row>
    <row r="25" spans="1:62" ht="13.5" customHeight="1" thickBot="1" x14ac:dyDescent="0.3">
      <c r="A25" s="34" t="b">
        <f t="shared" si="6"/>
        <v>0</v>
      </c>
      <c r="B25" s="61">
        <f>COMPOSITTIONS!A12</f>
        <v>33</v>
      </c>
      <c r="C25" s="282">
        <f>COMPOSITTIONS!B12</f>
        <v>2.25</v>
      </c>
      <c r="D25" s="284" t="str">
        <f>COMPOSITTIONS!C12</f>
        <v>Festulolium</v>
      </c>
      <c r="E25" s="276">
        <f t="shared" si="3"/>
        <v>2.2499999999999998E-3</v>
      </c>
      <c r="F25" s="278" t="e">
        <f>(#REF!+O25+AE25+AJ25+AP25+AV25+BB25+BH25+X25)</f>
        <v>#REF!</v>
      </c>
      <c r="G25" s="271" t="e">
        <f t="shared" si="34"/>
        <v>#REF!</v>
      </c>
      <c r="H25" s="275" t="e">
        <f>(BI25+BC25+AW25+AQ25+AK25+AF25+P25)</f>
        <v>#VALUE!</v>
      </c>
      <c r="I25" s="271" t="e">
        <f t="shared" si="35"/>
        <v>#VALUE!</v>
      </c>
      <c r="J25" s="56"/>
      <c r="K25" s="56"/>
      <c r="L25" s="56"/>
      <c r="M25" s="144">
        <f t="shared" si="8"/>
        <v>2.2499999999999998E-3</v>
      </c>
      <c r="N25" s="58">
        <f>IF($F$3&lt;&gt;"",(HLOOKUP($F$3,COMPOSITTIONS!$D$2:$AA$66,11,FALSE)),"")</f>
        <v>0</v>
      </c>
      <c r="O25" s="54">
        <f t="shared" si="9"/>
        <v>0</v>
      </c>
      <c r="P25" s="54">
        <f>(O25*1000)/M25</f>
        <v>0</v>
      </c>
      <c r="Q25" s="55" t="e">
        <f>IF(P25=#REF!,"0",(P25/$P$16))</f>
        <v>#REF!</v>
      </c>
      <c r="S25" s="173">
        <f>E25</f>
        <v>2.2499999999999998E-3</v>
      </c>
      <c r="T25" s="57" t="e">
        <f ca="1">IF(T25=#REF!,"0",$J$4/T25)</f>
        <v>#DIV/0!</v>
      </c>
      <c r="U25" s="57" t="e">
        <f t="shared" si="10"/>
        <v>#VALUE!</v>
      </c>
      <c r="V25" s="305" t="e">
        <f>IF($E$4&gt;10,HLOOKUP($E$4,COMPOSITTIONS!A:V,4,FALSE),#REF!)</f>
        <v>#N/A</v>
      </c>
      <c r="W25" s="278" t="e">
        <f>IF($F$4&lt;&gt;"",(HLOOKUP($F$4,COMPOSITTIONS!$D$2:$AA$66,11,FALSE)),#REF!)</f>
        <v>#REF!</v>
      </c>
      <c r="X25" s="278" t="e">
        <f t="shared" si="11"/>
        <v>#REF!</v>
      </c>
      <c r="Y25" s="57" t="e">
        <f t="shared" si="4"/>
        <v>#REF!</v>
      </c>
      <c r="Z25" s="55" t="e">
        <f>IF(Y25=#REF!,"0",(Y25/$Y$16))</f>
        <v>#REF!</v>
      </c>
      <c r="AB25" s="303" t="str">
        <f>IF($E$6=33,(C25/1000),"")</f>
        <v/>
      </c>
      <c r="AC25" s="282" t="str">
        <f t="shared" si="12"/>
        <v/>
      </c>
      <c r="AD25" s="278" t="str">
        <f t="shared" si="36"/>
        <v/>
      </c>
      <c r="AE25" s="302" t="str">
        <f t="shared" si="5"/>
        <v/>
      </c>
      <c r="AF25" s="278" t="str">
        <f t="shared" si="13"/>
        <v/>
      </c>
      <c r="AH25" s="303" t="str">
        <f>IF($E$7=33,(C25/1000),"")</f>
        <v/>
      </c>
      <c r="AI25" s="206" t="str">
        <f t="shared" si="14"/>
        <v/>
      </c>
      <c r="AJ25" s="278" t="str">
        <f t="shared" si="15"/>
        <v/>
      </c>
      <c r="AK25" s="302" t="str">
        <f t="shared" si="16"/>
        <v/>
      </c>
      <c r="AL25" s="278" t="str">
        <f t="shared" si="17"/>
        <v/>
      </c>
      <c r="AN25" s="303" t="str">
        <f>IF($E$8=33,(C25/1000),"")</f>
        <v/>
      </c>
      <c r="AO25" s="206" t="str">
        <f t="shared" si="18"/>
        <v/>
      </c>
      <c r="AP25" s="278" t="str">
        <f t="shared" si="19"/>
        <v/>
      </c>
      <c r="AQ25" s="302" t="str">
        <f t="shared" si="20"/>
        <v/>
      </c>
      <c r="AR25" s="278" t="str">
        <f t="shared" si="21"/>
        <v/>
      </c>
      <c r="AT25" s="203" t="str">
        <f>IF($E$9=33,(C25/1000),"")</f>
        <v/>
      </c>
      <c r="AU25" s="268" t="str">
        <f t="shared" si="22"/>
        <v/>
      </c>
      <c r="AV25" s="275" t="str">
        <f t="shared" si="23"/>
        <v/>
      </c>
      <c r="AW25" s="292" t="str">
        <f>IF(AT25="","",((AU25*1000)*AV25))</f>
        <v/>
      </c>
      <c r="AX25" s="290" t="str">
        <f t="shared" si="25"/>
        <v/>
      </c>
      <c r="AZ25" s="203" t="str">
        <f>IF($E$10=33,(C25/1000),"")</f>
        <v/>
      </c>
      <c r="BA25" s="267" t="str">
        <f t="shared" si="26"/>
        <v/>
      </c>
      <c r="BB25" s="275" t="str">
        <f t="shared" si="27"/>
        <v/>
      </c>
      <c r="BC25" s="292" t="str">
        <f t="shared" si="28"/>
        <v/>
      </c>
      <c r="BD25" s="290" t="str">
        <f t="shared" si="29"/>
        <v/>
      </c>
      <c r="BF25" s="296" t="str">
        <f>IF($E$11=33,(C25/1000),"")</f>
        <v/>
      </c>
      <c r="BG25" s="267" t="str">
        <f t="shared" si="30"/>
        <v/>
      </c>
      <c r="BH25" s="275" t="str">
        <f t="shared" si="31"/>
        <v/>
      </c>
      <c r="BI25" s="292" t="str">
        <f t="shared" si="32"/>
        <v/>
      </c>
      <c r="BJ25" s="55" t="str">
        <f t="shared" si="33"/>
        <v/>
      </c>
    </row>
    <row r="26" spans="1:62" ht="13.5" customHeight="1" thickBot="1" x14ac:dyDescent="0.3">
      <c r="A26" s="34" t="b">
        <f t="shared" si="6"/>
        <v>0</v>
      </c>
      <c r="B26" s="61">
        <f>COMPOSITTIONS!A13</f>
        <v>34</v>
      </c>
      <c r="C26" s="282">
        <f>COMPOSITTIONS!B13</f>
        <v>2.04</v>
      </c>
      <c r="D26" s="284" t="str">
        <f>COMPOSITTIONS!C13</f>
        <v>Fétuque des prés</v>
      </c>
      <c r="E26" s="276">
        <f t="shared" si="3"/>
        <v>2.0400000000000001E-3</v>
      </c>
      <c r="F26" s="278" t="e">
        <f>(#REF!+O26+AE26+AJ26+AP26+AV26+BB26+BH26+X26)</f>
        <v>#REF!</v>
      </c>
      <c r="G26" s="271" t="e">
        <f t="shared" si="34"/>
        <v>#REF!</v>
      </c>
      <c r="H26" s="275" t="e">
        <f>(BI26+BC26+AW26+AQ26+AK26+AF26+P26)</f>
        <v>#VALUE!</v>
      </c>
      <c r="I26" s="271" t="e">
        <f t="shared" si="35"/>
        <v>#VALUE!</v>
      </c>
      <c r="J26" s="56"/>
      <c r="K26" s="56"/>
      <c r="L26" s="56"/>
      <c r="M26" s="144">
        <f t="shared" si="8"/>
        <v>2.0400000000000001E-3</v>
      </c>
      <c r="N26" s="58">
        <f>IF($F$3&lt;&gt;"",(HLOOKUP($F$3,COMPOSITTIONS!$D$2:$AA$66,12,FALSE)),N8)</f>
        <v>15</v>
      </c>
      <c r="O26" s="54">
        <f t="shared" si="9"/>
        <v>0.75</v>
      </c>
      <c r="P26" s="54">
        <f>(O26*1000)/M26</f>
        <v>367647.0588235294</v>
      </c>
      <c r="Q26" s="55" t="e">
        <f>IF(P26=#REF!,"0",(P26/$P$16))</f>
        <v>#REF!</v>
      </c>
      <c r="S26" s="173">
        <f>E26</f>
        <v>2.0400000000000001E-3</v>
      </c>
      <c r="T26" s="57" t="e">
        <f ca="1">IF(T26=#REF!,"0",$J$4/T26)</f>
        <v>#DIV/0!</v>
      </c>
      <c r="U26" s="57" t="e">
        <f t="shared" si="10"/>
        <v>#VALUE!</v>
      </c>
      <c r="V26" s="305" t="e">
        <f>IF($E$4&gt;10,HLOOKUP($E$4,COMPOSITTIONS!A:V,4,FALSE),#REF!)</f>
        <v>#N/A</v>
      </c>
      <c r="W26" s="278" t="e">
        <f>IF($F$4&lt;&gt;"",(HLOOKUP($F$4,COMPOSITTIONS!$D$2:$AA$66,12,FALSE)),#REF!)</f>
        <v>#REF!</v>
      </c>
      <c r="X26" s="278" t="e">
        <f t="shared" si="11"/>
        <v>#REF!</v>
      </c>
      <c r="Y26" s="57" t="e">
        <f t="shared" si="4"/>
        <v>#REF!</v>
      </c>
      <c r="Z26" s="55" t="e">
        <f>IF(Y26=#REF!,"0",(Y26/$Y$16))</f>
        <v>#REF!</v>
      </c>
      <c r="AB26" s="303" t="str">
        <f>IF($E$6=34,(C26/1000),"")</f>
        <v/>
      </c>
      <c r="AC26" s="282" t="str">
        <f t="shared" si="12"/>
        <v/>
      </c>
      <c r="AD26" s="278" t="str">
        <f t="shared" si="36"/>
        <v/>
      </c>
      <c r="AE26" s="302" t="str">
        <f t="shared" si="5"/>
        <v/>
      </c>
      <c r="AF26" s="278" t="str">
        <f t="shared" si="13"/>
        <v/>
      </c>
      <c r="AH26" s="303" t="str">
        <f>IF($E$7=34,(C26/1000),"")</f>
        <v/>
      </c>
      <c r="AI26" s="206" t="str">
        <f t="shared" si="14"/>
        <v/>
      </c>
      <c r="AJ26" s="278" t="str">
        <f t="shared" si="15"/>
        <v/>
      </c>
      <c r="AK26" s="302" t="str">
        <f t="shared" si="16"/>
        <v/>
      </c>
      <c r="AL26" s="278" t="str">
        <f t="shared" si="17"/>
        <v/>
      </c>
      <c r="AN26" s="303" t="str">
        <f>IF($E$8=34,(C26/1000),"")</f>
        <v/>
      </c>
      <c r="AO26" s="206" t="str">
        <f t="shared" si="18"/>
        <v/>
      </c>
      <c r="AP26" s="278" t="str">
        <f t="shared" si="19"/>
        <v/>
      </c>
      <c r="AQ26" s="302" t="str">
        <f t="shared" si="20"/>
        <v/>
      </c>
      <c r="AR26" s="278" t="str">
        <f t="shared" si="21"/>
        <v/>
      </c>
      <c r="AT26" s="203" t="str">
        <f>IF($E$9=34,(C26/1000),"")</f>
        <v/>
      </c>
      <c r="AU26" s="268" t="str">
        <f t="shared" si="22"/>
        <v/>
      </c>
      <c r="AV26" s="275" t="str">
        <f t="shared" si="23"/>
        <v/>
      </c>
      <c r="AW26" s="292" t="str">
        <f t="shared" si="24"/>
        <v/>
      </c>
      <c r="AX26" s="290" t="str">
        <f t="shared" si="25"/>
        <v/>
      </c>
      <c r="AZ26" s="203" t="str">
        <f>IF($E$10=34,(C26/1000),"")</f>
        <v/>
      </c>
      <c r="BA26" s="267" t="str">
        <f t="shared" si="26"/>
        <v/>
      </c>
      <c r="BB26" s="275" t="str">
        <f t="shared" si="27"/>
        <v/>
      </c>
      <c r="BC26" s="292" t="str">
        <f t="shared" si="28"/>
        <v/>
      </c>
      <c r="BD26" s="290" t="str">
        <f t="shared" si="29"/>
        <v/>
      </c>
      <c r="BF26" s="296" t="str">
        <f>IF($E$11=34,(C26/1000),"")</f>
        <v/>
      </c>
      <c r="BG26" s="267" t="str">
        <f t="shared" si="30"/>
        <v/>
      </c>
      <c r="BH26" s="275" t="str">
        <f t="shared" si="31"/>
        <v/>
      </c>
      <c r="BI26" s="292" t="str">
        <f t="shared" si="32"/>
        <v/>
      </c>
      <c r="BJ26" s="55" t="str">
        <f t="shared" si="33"/>
        <v/>
      </c>
    </row>
    <row r="27" spans="1:62" ht="13.5" customHeight="1" thickBot="1" x14ac:dyDescent="0.3">
      <c r="A27" s="34" t="b">
        <f t="shared" si="6"/>
        <v>0</v>
      </c>
      <c r="B27" s="61">
        <f>COMPOSITTIONS!A14</f>
        <v>35</v>
      </c>
      <c r="C27" s="282">
        <f>COMPOSITTIONS!B14</f>
        <v>2.37</v>
      </c>
      <c r="D27" s="284" t="str">
        <f>COMPOSITTIONS!C14</f>
        <v>Fétuque Elevée</v>
      </c>
      <c r="E27" s="276">
        <f t="shared" si="3"/>
        <v>2.3700000000000001E-3</v>
      </c>
      <c r="F27" s="278" t="e">
        <f>(#REF!+O27+AE27+AJ27+AP27+AV27+BB27+BH27+X27)</f>
        <v>#REF!</v>
      </c>
      <c r="G27" s="271" t="e">
        <f t="shared" si="34"/>
        <v>#REF!</v>
      </c>
      <c r="H27" s="275" t="e">
        <f>(BI27+BC27+AW27+AQ27+AK27+AF27+P27)</f>
        <v>#VALUE!</v>
      </c>
      <c r="I27" s="271" t="e">
        <f t="shared" si="35"/>
        <v>#VALUE!</v>
      </c>
      <c r="J27" s="56"/>
      <c r="K27" s="56"/>
      <c r="L27" s="56"/>
      <c r="M27" s="144">
        <f t="shared" si="8"/>
        <v>2.3700000000000001E-3</v>
      </c>
      <c r="N27" s="58">
        <f>IF($F$3&lt;&gt;"",(HLOOKUP($F$3,COMPOSITTIONS!$D$2:$AA$66,13,FALSE)),#REF!)</f>
        <v>0</v>
      </c>
      <c r="O27" s="54">
        <f t="shared" si="9"/>
        <v>0</v>
      </c>
      <c r="P27" s="54">
        <f>(O27*1000)/M27</f>
        <v>0</v>
      </c>
      <c r="Q27" s="55" t="e">
        <f>IF(P27=#REF!,"0",(P27/$P$16))</f>
        <v>#REF!</v>
      </c>
      <c r="S27" s="173">
        <f>E27</f>
        <v>2.3700000000000001E-3</v>
      </c>
      <c r="T27" s="57" t="e">
        <f ca="1">IF(T27=#REF!,"0",$J$4/T27)</f>
        <v>#DIV/0!</v>
      </c>
      <c r="U27" s="57" t="e">
        <f t="shared" si="10"/>
        <v>#VALUE!</v>
      </c>
      <c r="V27" s="305" t="e">
        <f>IF($E$4&gt;10,HLOOKUP($E$4,COMPOSITTIONS!A:V,4,FALSE),#REF!)</f>
        <v>#N/A</v>
      </c>
      <c r="W27" s="278" t="e">
        <f>IF($F$4&lt;&gt;"",(HLOOKUP($F$4,COMPOSITTIONS!$D$2:$AA$66,13,FALSE)),#REF!)</f>
        <v>#REF!</v>
      </c>
      <c r="X27" s="278" t="e">
        <f t="shared" si="11"/>
        <v>#REF!</v>
      </c>
      <c r="Y27" s="57" t="e">
        <f t="shared" si="4"/>
        <v>#REF!</v>
      </c>
      <c r="Z27" s="55" t="e">
        <f>IF(Y27=#REF!,"0",(Y27/$Y$16))</f>
        <v>#REF!</v>
      </c>
      <c r="AB27" s="303" t="str">
        <f>IF($E$6=35,(C27/1000),"")</f>
        <v/>
      </c>
      <c r="AC27" s="282" t="str">
        <f t="shared" si="12"/>
        <v/>
      </c>
      <c r="AD27" s="278" t="str">
        <f t="shared" si="36"/>
        <v/>
      </c>
      <c r="AE27" s="302" t="str">
        <f t="shared" si="5"/>
        <v/>
      </c>
      <c r="AF27" s="278" t="str">
        <f t="shared" si="13"/>
        <v/>
      </c>
      <c r="AH27" s="303" t="str">
        <f>IF($E$7=35,(C27/1000),"")</f>
        <v/>
      </c>
      <c r="AI27" s="206" t="str">
        <f t="shared" si="14"/>
        <v/>
      </c>
      <c r="AJ27" s="278" t="str">
        <f t="shared" si="15"/>
        <v/>
      </c>
      <c r="AK27" s="302" t="str">
        <f t="shared" si="16"/>
        <v/>
      </c>
      <c r="AL27" s="278" t="str">
        <f t="shared" si="17"/>
        <v/>
      </c>
      <c r="AN27" s="303" t="str">
        <f>IF($E$8=35,(C27/1000),"")</f>
        <v/>
      </c>
      <c r="AO27" s="206" t="str">
        <f t="shared" si="18"/>
        <v/>
      </c>
      <c r="AP27" s="278" t="str">
        <f t="shared" si="19"/>
        <v/>
      </c>
      <c r="AQ27" s="302" t="str">
        <f t="shared" si="20"/>
        <v/>
      </c>
      <c r="AR27" s="278" t="str">
        <f t="shared" si="21"/>
        <v/>
      </c>
      <c r="AT27" s="203" t="str">
        <f>IF($E$9=35,(C27/1000),"")</f>
        <v/>
      </c>
      <c r="AU27" s="268" t="str">
        <f t="shared" si="22"/>
        <v/>
      </c>
      <c r="AV27" s="275" t="str">
        <f t="shared" si="23"/>
        <v/>
      </c>
      <c r="AW27" s="292" t="str">
        <f t="shared" si="24"/>
        <v/>
      </c>
      <c r="AX27" s="290" t="str">
        <f t="shared" si="25"/>
        <v/>
      </c>
      <c r="AZ27" s="203" t="str">
        <f>IF($E$10=35,(C27/1000),"")</f>
        <v/>
      </c>
      <c r="BA27" s="267" t="str">
        <f t="shared" si="26"/>
        <v/>
      </c>
      <c r="BB27" s="275" t="str">
        <f t="shared" si="27"/>
        <v/>
      </c>
      <c r="BC27" s="292" t="str">
        <f t="shared" si="28"/>
        <v/>
      </c>
      <c r="BD27" s="290" t="str">
        <f t="shared" si="29"/>
        <v/>
      </c>
      <c r="BF27" s="296" t="str">
        <f>IF($E$11=35,(C27/1000),"")</f>
        <v/>
      </c>
      <c r="BG27" s="267" t="str">
        <f t="shared" si="30"/>
        <v/>
      </c>
      <c r="BH27" s="275" t="str">
        <f t="shared" si="31"/>
        <v/>
      </c>
      <c r="BI27" s="292" t="str">
        <f t="shared" si="32"/>
        <v/>
      </c>
      <c r="BJ27" s="55" t="str">
        <f t="shared" si="33"/>
        <v/>
      </c>
    </row>
    <row r="28" spans="1:62" ht="13.5" customHeight="1" thickBot="1" x14ac:dyDescent="0.3">
      <c r="A28" s="34" t="b">
        <f t="shared" si="6"/>
        <v>0</v>
      </c>
      <c r="B28" s="61">
        <f>COMPOSITTIONS!A15</f>
        <v>36</v>
      </c>
      <c r="C28" s="282">
        <f>COMPOSITTIONS!B15</f>
        <v>2.1</v>
      </c>
      <c r="D28" s="284" t="str">
        <f>COMPOSITTIONS!C15</f>
        <v>Fétuque rouge</v>
      </c>
      <c r="E28" s="276">
        <f t="shared" si="3"/>
        <v>2.1000000000000003E-3</v>
      </c>
      <c r="F28" s="278" t="e">
        <f>(#REF!+O28+AE28+AJ28+AP28+AV28+BB28+BH28+X28)</f>
        <v>#REF!</v>
      </c>
      <c r="G28" s="271" t="e">
        <f t="shared" si="34"/>
        <v>#REF!</v>
      </c>
      <c r="H28" s="275" t="e">
        <f>(BI28+BC28+AW28+AQ28+AK28+AF28+P28)</f>
        <v>#VALUE!</v>
      </c>
      <c r="I28" s="271" t="e">
        <f t="shared" si="35"/>
        <v>#VALUE!</v>
      </c>
      <c r="J28" s="56"/>
      <c r="K28" s="56"/>
      <c r="L28" s="56"/>
      <c r="M28" s="144">
        <f t="shared" si="8"/>
        <v>2.1000000000000003E-3</v>
      </c>
      <c r="N28" s="58">
        <f>IF($F$3&lt;&gt;"",(HLOOKUP($F$3,COMPOSITTIONS!$D$2:$AA$66,14,FALSE)),#REF!)</f>
        <v>0</v>
      </c>
      <c r="O28" s="54">
        <f t="shared" si="9"/>
        <v>0</v>
      </c>
      <c r="P28" s="54">
        <f>(O28*1000)/M28</f>
        <v>0</v>
      </c>
      <c r="Q28" s="55" t="e">
        <f>IF(P28=#REF!,"0",(P28/$P$16))</f>
        <v>#REF!</v>
      </c>
      <c r="S28" s="173">
        <f>E28</f>
        <v>2.1000000000000003E-3</v>
      </c>
      <c r="T28" s="57" t="e">
        <f ca="1">IF(T28=#REF!,"0",$J$4/T28)</f>
        <v>#DIV/0!</v>
      </c>
      <c r="U28" s="57" t="e">
        <f t="shared" si="10"/>
        <v>#VALUE!</v>
      </c>
      <c r="V28" s="305" t="e">
        <f>IF($E$4&gt;10,HLOOKUP($E$4,COMPOSITTIONS!A:V,4,FALSE),#REF!)</f>
        <v>#N/A</v>
      </c>
      <c r="W28" s="278" t="e">
        <f>IF($F$4&lt;&gt;"",(HLOOKUP($F$4,COMPOSITTIONS!$D$2:$AA$66,14,FALSE)),#REF!)</f>
        <v>#REF!</v>
      </c>
      <c r="X28" s="278" t="e">
        <f t="shared" si="11"/>
        <v>#REF!</v>
      </c>
      <c r="Y28" s="57" t="e">
        <f t="shared" si="4"/>
        <v>#REF!</v>
      </c>
      <c r="Z28" s="55" t="e">
        <f>IF(Y28=#REF!,"0",(Y28/$Y$16))</f>
        <v>#REF!</v>
      </c>
      <c r="AB28" s="303" t="str">
        <f>IF($E$6=36,(C28/1000),"")</f>
        <v/>
      </c>
      <c r="AC28" s="282" t="str">
        <f t="shared" si="12"/>
        <v/>
      </c>
      <c r="AD28" s="278" t="str">
        <f t="shared" si="36"/>
        <v/>
      </c>
      <c r="AE28" s="302" t="str">
        <f t="shared" si="5"/>
        <v/>
      </c>
      <c r="AF28" s="278" t="str">
        <f t="shared" si="13"/>
        <v/>
      </c>
      <c r="AH28" s="303" t="str">
        <f>IF($E$7=36,(C28/1000),"")</f>
        <v/>
      </c>
      <c r="AI28" s="206" t="str">
        <f t="shared" si="14"/>
        <v/>
      </c>
      <c r="AJ28" s="278" t="str">
        <f t="shared" si="15"/>
        <v/>
      </c>
      <c r="AK28" s="302" t="str">
        <f t="shared" si="16"/>
        <v/>
      </c>
      <c r="AL28" s="278" t="str">
        <f t="shared" si="17"/>
        <v/>
      </c>
      <c r="AN28" s="303" t="str">
        <f>IF($E$8=36,(C28/1000),"")</f>
        <v/>
      </c>
      <c r="AO28" s="206" t="str">
        <f t="shared" si="18"/>
        <v/>
      </c>
      <c r="AP28" s="278" t="str">
        <f t="shared" si="19"/>
        <v/>
      </c>
      <c r="AQ28" s="302" t="str">
        <f t="shared" si="20"/>
        <v/>
      </c>
      <c r="AR28" s="278" t="str">
        <f t="shared" si="21"/>
        <v/>
      </c>
      <c r="AT28" s="203" t="str">
        <f>IF($E$9=36,(C28/1000),"")</f>
        <v/>
      </c>
      <c r="AU28" s="268" t="str">
        <f t="shared" si="22"/>
        <v/>
      </c>
      <c r="AV28" s="275" t="str">
        <f t="shared" si="23"/>
        <v/>
      </c>
      <c r="AW28" s="292" t="str">
        <f t="shared" si="24"/>
        <v/>
      </c>
      <c r="AX28" s="290" t="str">
        <f t="shared" si="25"/>
        <v/>
      </c>
      <c r="AZ28" s="203" t="str">
        <f>IF($E$10=36,(C28/1000),"")</f>
        <v/>
      </c>
      <c r="BA28" s="267" t="str">
        <f t="shared" si="26"/>
        <v/>
      </c>
      <c r="BB28" s="275" t="str">
        <f t="shared" si="27"/>
        <v/>
      </c>
      <c r="BC28" s="292" t="str">
        <f t="shared" si="28"/>
        <v/>
      </c>
      <c r="BD28" s="290" t="str">
        <f t="shared" si="29"/>
        <v/>
      </c>
      <c r="BF28" s="296" t="str">
        <f>IF($E$11=36,(C28/1000),"")</f>
        <v/>
      </c>
      <c r="BG28" s="267" t="str">
        <f t="shared" si="30"/>
        <v/>
      </c>
      <c r="BH28" s="275" t="str">
        <f t="shared" si="31"/>
        <v/>
      </c>
      <c r="BI28" s="292" t="str">
        <f t="shared" si="32"/>
        <v/>
      </c>
      <c r="BJ28" s="55" t="str">
        <f t="shared" si="33"/>
        <v/>
      </c>
    </row>
    <row r="29" spans="1:62" ht="13.5" customHeight="1" thickBot="1" x14ac:dyDescent="0.3">
      <c r="A29" s="34" t="b">
        <f t="shared" si="6"/>
        <v>0</v>
      </c>
      <c r="B29" s="61">
        <f>COMPOSITTIONS!A16</f>
        <v>37</v>
      </c>
      <c r="C29" s="282">
        <f>COMPOSITTIONS!B16</f>
        <v>570</v>
      </c>
      <c r="D29" s="284" t="str">
        <f>COMPOSITTIONS!C16</f>
        <v>Feverolle</v>
      </c>
      <c r="E29" s="276">
        <f t="shared" si="3"/>
        <v>0.56999999999999995</v>
      </c>
      <c r="F29" s="278" t="e">
        <f>(#REF!+O29+AE29+AJ29+AP29+AV29+BB29+BH29+X29)</f>
        <v>#REF!</v>
      </c>
      <c r="G29" s="271" t="e">
        <f t="shared" si="34"/>
        <v>#REF!</v>
      </c>
      <c r="H29" s="275" t="e">
        <f>(BI29+BC29+AW29+AQ29+AK29+AF29+P29)</f>
        <v>#VALUE!</v>
      </c>
      <c r="I29" s="271" t="e">
        <f t="shared" si="35"/>
        <v>#VALUE!</v>
      </c>
      <c r="J29" s="56"/>
      <c r="K29" s="56"/>
      <c r="L29" s="56"/>
      <c r="M29" s="144">
        <f t="shared" si="8"/>
        <v>0.56999999999999995</v>
      </c>
      <c r="N29" s="58">
        <f>IF($F$3&lt;&gt;"",(HLOOKUP($F$3,COMPOSITTIONS!$D$2:$AA$66,15,FALSE)),#REF!)</f>
        <v>0</v>
      </c>
      <c r="O29" s="54">
        <f t="shared" si="9"/>
        <v>0</v>
      </c>
      <c r="P29" s="54">
        <f>(O29*1000)/M29</f>
        <v>0</v>
      </c>
      <c r="Q29" s="55" t="e">
        <f>IF(P29=#REF!,"0",(P29/$P$16))</f>
        <v>#REF!</v>
      </c>
      <c r="S29" s="173">
        <f>E29</f>
        <v>0.56999999999999995</v>
      </c>
      <c r="T29" s="57" t="e">
        <f ca="1">IF(T29=#REF!,"0",$J$4/T29)</f>
        <v>#DIV/0!</v>
      </c>
      <c r="U29" s="57" t="e">
        <f t="shared" si="10"/>
        <v>#VALUE!</v>
      </c>
      <c r="V29" s="305" t="e">
        <f>IF($E$4&gt;10,HLOOKUP($E$4,COMPOSITTIONS!A:V,4,FALSE),#REF!)</f>
        <v>#N/A</v>
      </c>
      <c r="W29" s="278" t="e">
        <f>IF($F$4&lt;&gt;"",(HLOOKUP($F$4,COMPOSITTIONS!$D$2:$AA$66,15,FALSE)),#REF!)</f>
        <v>#REF!</v>
      </c>
      <c r="X29" s="278" t="e">
        <f t="shared" si="11"/>
        <v>#REF!</v>
      </c>
      <c r="Y29" s="57" t="e">
        <f t="shared" si="4"/>
        <v>#REF!</v>
      </c>
      <c r="Z29" s="55" t="e">
        <f>IF(Y29=#REF!,"0",(Y29/$Y$16))</f>
        <v>#REF!</v>
      </c>
      <c r="AB29" s="303" t="str">
        <f>IF($E$6=37,(C29/1000),"")</f>
        <v/>
      </c>
      <c r="AC29" s="282" t="str">
        <f t="shared" si="12"/>
        <v/>
      </c>
      <c r="AD29" s="278" t="str">
        <f t="shared" si="36"/>
        <v/>
      </c>
      <c r="AE29" s="302" t="str">
        <f t="shared" si="5"/>
        <v/>
      </c>
      <c r="AF29" s="278" t="str">
        <f t="shared" si="13"/>
        <v/>
      </c>
      <c r="AH29" s="303" t="str">
        <f>IF($E$7=37,(C29/1000),"")</f>
        <v/>
      </c>
      <c r="AI29" s="206" t="str">
        <f t="shared" si="14"/>
        <v/>
      </c>
      <c r="AJ29" s="278" t="str">
        <f t="shared" si="15"/>
        <v/>
      </c>
      <c r="AK29" s="302" t="str">
        <f t="shared" si="16"/>
        <v/>
      </c>
      <c r="AL29" s="278" t="str">
        <f t="shared" si="17"/>
        <v/>
      </c>
      <c r="AN29" s="303" t="str">
        <f>IF($E$8=37,(C29/1000),"")</f>
        <v/>
      </c>
      <c r="AO29" s="206" t="str">
        <f t="shared" si="18"/>
        <v/>
      </c>
      <c r="AP29" s="278" t="str">
        <f t="shared" si="19"/>
        <v/>
      </c>
      <c r="AQ29" s="302" t="str">
        <f t="shared" si="20"/>
        <v/>
      </c>
      <c r="AR29" s="278" t="str">
        <f t="shared" si="21"/>
        <v/>
      </c>
      <c r="AT29" s="203" t="str">
        <f>IF($E$9=37,(C29/1000),"")</f>
        <v/>
      </c>
      <c r="AU29" s="268" t="str">
        <f t="shared" si="22"/>
        <v/>
      </c>
      <c r="AV29" s="275" t="str">
        <f t="shared" si="23"/>
        <v/>
      </c>
      <c r="AW29" s="292" t="str">
        <f t="shared" si="24"/>
        <v/>
      </c>
      <c r="AX29" s="290" t="str">
        <f t="shared" si="25"/>
        <v/>
      </c>
      <c r="AZ29" s="203" t="str">
        <f>IF($E$10=37,(C29/1000),"")</f>
        <v/>
      </c>
      <c r="BA29" s="267" t="str">
        <f t="shared" si="26"/>
        <v/>
      </c>
      <c r="BB29" s="275" t="str">
        <f t="shared" si="27"/>
        <v/>
      </c>
      <c r="BC29" s="292" t="str">
        <f t="shared" si="28"/>
        <v/>
      </c>
      <c r="BD29" s="290" t="str">
        <f t="shared" si="29"/>
        <v/>
      </c>
      <c r="BF29" s="296" t="str">
        <f>IF($E$11=37,(C29/1000),"")</f>
        <v/>
      </c>
      <c r="BG29" s="267" t="str">
        <f t="shared" si="30"/>
        <v/>
      </c>
      <c r="BH29" s="275" t="str">
        <f t="shared" si="31"/>
        <v/>
      </c>
      <c r="BI29" s="292" t="str">
        <f t="shared" si="32"/>
        <v/>
      </c>
      <c r="BJ29" s="55" t="str">
        <f t="shared" si="33"/>
        <v/>
      </c>
    </row>
    <row r="30" spans="1:62" ht="13.5" customHeight="1" thickBot="1" x14ac:dyDescent="0.3">
      <c r="A30" s="34" t="b">
        <f t="shared" si="6"/>
        <v>0</v>
      </c>
      <c r="B30" s="61">
        <f>COMPOSITTIONS!A17</f>
        <v>38</v>
      </c>
      <c r="C30" s="282">
        <f>COMPOSITTIONS!B17</f>
        <v>0.45</v>
      </c>
      <c r="D30" s="284" t="str">
        <f>COMPOSITTIONS!C17</f>
        <v>Fléole des prés</v>
      </c>
      <c r="E30" s="276">
        <f t="shared" si="3"/>
        <v>4.4999999999999999E-4</v>
      </c>
      <c r="F30" s="278" t="e">
        <f>(#REF!+O30+AE30+AJ30+AP30+AV30+BB30+BH30+X30)</f>
        <v>#REF!</v>
      </c>
      <c r="G30" s="271" t="e">
        <f t="shared" si="34"/>
        <v>#REF!</v>
      </c>
      <c r="H30" s="275" t="e">
        <f>(BI30+BC30+AW30+AQ30+AK30+AF30+P30)</f>
        <v>#VALUE!</v>
      </c>
      <c r="I30" s="271" t="e">
        <f t="shared" si="35"/>
        <v>#VALUE!</v>
      </c>
      <c r="J30" s="56"/>
      <c r="K30" s="56"/>
      <c r="L30" s="56"/>
      <c r="M30" s="144">
        <f t="shared" si="8"/>
        <v>4.4999999999999999E-4</v>
      </c>
      <c r="N30" s="58">
        <f>IF($F$3&lt;&gt;"",(HLOOKUP($F$3,COMPOSITTIONS!$D$2:$AA$66,16,FALSE)),#REF!)</f>
        <v>5</v>
      </c>
      <c r="O30" s="54">
        <f t="shared" si="9"/>
        <v>0.25</v>
      </c>
      <c r="P30" s="54">
        <f>(O30*1000)/M30</f>
        <v>555555.55555555562</v>
      </c>
      <c r="Q30" s="55" t="e">
        <f>IF(P30=#REF!,"0",(P30/$P$16))</f>
        <v>#REF!</v>
      </c>
      <c r="S30" s="173">
        <f>E30</f>
        <v>4.4999999999999999E-4</v>
      </c>
      <c r="T30" s="57" t="e">
        <f ca="1">IF(T30=#REF!,"0",$J$4/T30)</f>
        <v>#DIV/0!</v>
      </c>
      <c r="U30" s="57" t="e">
        <f t="shared" si="10"/>
        <v>#VALUE!</v>
      </c>
      <c r="V30" s="305" t="e">
        <f>IF($E$4&gt;10,HLOOKUP($E$4,COMPOSITTIONS!A:V,4,FALSE),#REF!)</f>
        <v>#N/A</v>
      </c>
      <c r="W30" s="278" t="e">
        <f>IF($F$4&lt;&gt;"",(HLOOKUP($F$4,COMPOSITTIONS!$D$2:$AA$66,16,FALSE)),#REF!)</f>
        <v>#REF!</v>
      </c>
      <c r="X30" s="278" t="e">
        <f t="shared" si="11"/>
        <v>#REF!</v>
      </c>
      <c r="Y30" s="57" t="e">
        <f t="shared" si="4"/>
        <v>#REF!</v>
      </c>
      <c r="Z30" s="55" t="e">
        <f>IF(Y30=#REF!,"0",(Y30/$Y$16))</f>
        <v>#REF!</v>
      </c>
      <c r="AB30" s="303" t="str">
        <f>IF($E$6=38,(C30/1000),"")</f>
        <v/>
      </c>
      <c r="AC30" s="282" t="str">
        <f t="shared" si="12"/>
        <v/>
      </c>
      <c r="AD30" s="278" t="str">
        <f t="shared" si="36"/>
        <v/>
      </c>
      <c r="AE30" s="302" t="str">
        <f t="shared" si="5"/>
        <v/>
      </c>
      <c r="AF30" s="278" t="str">
        <f t="shared" si="13"/>
        <v/>
      </c>
      <c r="AH30" s="303" t="str">
        <f>IF($E$7=38,(C30/1000),"")</f>
        <v/>
      </c>
      <c r="AI30" s="206" t="str">
        <f t="shared" si="14"/>
        <v/>
      </c>
      <c r="AJ30" s="278" t="str">
        <f t="shared" si="15"/>
        <v/>
      </c>
      <c r="AK30" s="302" t="str">
        <f t="shared" si="16"/>
        <v/>
      </c>
      <c r="AL30" s="278" t="str">
        <f t="shared" si="17"/>
        <v/>
      </c>
      <c r="AN30" s="303" t="str">
        <f>IF($E$8=38,(C30/1000),"")</f>
        <v/>
      </c>
      <c r="AO30" s="206" t="str">
        <f t="shared" si="18"/>
        <v/>
      </c>
      <c r="AP30" s="278" t="str">
        <f t="shared" si="19"/>
        <v/>
      </c>
      <c r="AQ30" s="302" t="str">
        <f t="shared" si="20"/>
        <v/>
      </c>
      <c r="AR30" s="278" t="str">
        <f t="shared" si="21"/>
        <v/>
      </c>
      <c r="AT30" s="203" t="str">
        <f>IF($E$9=38,(C30/1000),"")</f>
        <v/>
      </c>
      <c r="AU30" s="268" t="str">
        <f t="shared" si="22"/>
        <v/>
      </c>
      <c r="AV30" s="275" t="str">
        <f t="shared" si="23"/>
        <v/>
      </c>
      <c r="AW30" s="292" t="str">
        <f t="shared" si="24"/>
        <v/>
      </c>
      <c r="AX30" s="290" t="str">
        <f t="shared" si="25"/>
        <v/>
      </c>
      <c r="AZ30" s="203" t="str">
        <f>IF($E$10=38,(C30/1000),"")</f>
        <v/>
      </c>
      <c r="BA30" s="267" t="str">
        <f t="shared" si="26"/>
        <v/>
      </c>
      <c r="BB30" s="275" t="str">
        <f t="shared" si="27"/>
        <v/>
      </c>
      <c r="BC30" s="292" t="str">
        <f t="shared" si="28"/>
        <v/>
      </c>
      <c r="BD30" s="290" t="str">
        <f t="shared" si="29"/>
        <v/>
      </c>
      <c r="BF30" s="296" t="str">
        <f>IF($E$11=38,(C30/1000),"")</f>
        <v/>
      </c>
      <c r="BG30" s="267" t="str">
        <f t="shared" si="30"/>
        <v/>
      </c>
      <c r="BH30" s="275" t="str">
        <f t="shared" si="31"/>
        <v/>
      </c>
      <c r="BI30" s="292" t="str">
        <f t="shared" si="32"/>
        <v/>
      </c>
      <c r="BJ30" s="55" t="str">
        <f t="shared" si="33"/>
        <v/>
      </c>
    </row>
    <row r="31" spans="1:62" ht="13.5" customHeight="1" thickBot="1" x14ac:dyDescent="0.3">
      <c r="A31" s="34" t="b">
        <f t="shared" si="6"/>
        <v>0</v>
      </c>
      <c r="B31" s="61">
        <f>COMPOSITTIONS!A18</f>
        <v>39</v>
      </c>
      <c r="C31" s="282">
        <f>COMPOSITTIONS!B18</f>
        <v>200</v>
      </c>
      <c r="D31" s="284" t="str">
        <f>COMPOSITTIONS!C18</f>
        <v>Gesse</v>
      </c>
      <c r="E31" s="276">
        <f t="shared" si="3"/>
        <v>0.2</v>
      </c>
      <c r="F31" s="278" t="e">
        <f>(#REF!+O31+AE31+AJ31+AP31+AV31+BB31+BH31+X31)</f>
        <v>#REF!</v>
      </c>
      <c r="G31" s="271" t="e">
        <f t="shared" si="34"/>
        <v>#REF!</v>
      </c>
      <c r="H31" s="275" t="e">
        <f>(BI31+BC31+AW31+AQ31+AK31+AF31+P31)</f>
        <v>#VALUE!</v>
      </c>
      <c r="I31" s="271" t="e">
        <f t="shared" si="35"/>
        <v>#VALUE!</v>
      </c>
      <c r="J31" s="56"/>
      <c r="K31" s="56"/>
      <c r="L31" s="56"/>
      <c r="M31" s="144">
        <f t="shared" si="8"/>
        <v>0.2</v>
      </c>
      <c r="N31" s="58">
        <f>IF($F$3&lt;&gt;"",(HLOOKUP($F$3,COMPOSITTIONS!$D$2:$AA$66,17,FALSE)),#REF!)</f>
        <v>0</v>
      </c>
      <c r="O31" s="54">
        <f t="shared" si="9"/>
        <v>0</v>
      </c>
      <c r="P31" s="54">
        <f>(O31*1000)/M31</f>
        <v>0</v>
      </c>
      <c r="Q31" s="55" t="e">
        <f>IF(P31=#REF!,"0",(P31/$P$16))</f>
        <v>#REF!</v>
      </c>
      <c r="S31" s="173">
        <f>E31</f>
        <v>0.2</v>
      </c>
      <c r="T31" s="57" t="e">
        <f ca="1">IF(T31=#REF!,"0",$J$4/T31)</f>
        <v>#DIV/0!</v>
      </c>
      <c r="U31" s="57" t="e">
        <f t="shared" si="10"/>
        <v>#VALUE!</v>
      </c>
      <c r="V31" s="305" t="e">
        <f>IF($E$4&gt;10,HLOOKUP($E$4,COMPOSITTIONS!A:V,4,FALSE),#REF!)</f>
        <v>#N/A</v>
      </c>
      <c r="W31" s="278" t="e">
        <f>IF($F$4&lt;&gt;"",(HLOOKUP($F$4,COMPOSITTIONS!$D$2:$AA$66,17,FALSE)),#REF!)</f>
        <v>#REF!</v>
      </c>
      <c r="X31" s="278" t="e">
        <f t="shared" si="11"/>
        <v>#REF!</v>
      </c>
      <c r="Y31" s="57" t="e">
        <f t="shared" si="4"/>
        <v>#REF!</v>
      </c>
      <c r="Z31" s="55" t="e">
        <f>IF(Y31=#REF!,"0",(Y31/$Y$16))</f>
        <v>#REF!</v>
      </c>
      <c r="AB31" s="303" t="str">
        <f>IF($E$6=39,(C31/1000),"")</f>
        <v/>
      </c>
      <c r="AC31" s="282" t="str">
        <f t="shared" si="12"/>
        <v/>
      </c>
      <c r="AD31" s="278" t="str">
        <f t="shared" si="36"/>
        <v/>
      </c>
      <c r="AE31" s="302" t="str">
        <f t="shared" si="5"/>
        <v/>
      </c>
      <c r="AF31" s="278" t="str">
        <f t="shared" si="13"/>
        <v/>
      </c>
      <c r="AH31" s="303" t="str">
        <f>IF($E$7=39,(C31/1000),"")</f>
        <v/>
      </c>
      <c r="AI31" s="206" t="str">
        <f t="shared" si="14"/>
        <v/>
      </c>
      <c r="AJ31" s="278" t="str">
        <f t="shared" si="15"/>
        <v/>
      </c>
      <c r="AK31" s="302" t="str">
        <f t="shared" si="16"/>
        <v/>
      </c>
      <c r="AL31" s="278" t="str">
        <f t="shared" si="17"/>
        <v/>
      </c>
      <c r="AN31" s="303" t="str">
        <f>IF($E$8=39,(C31/1000),"")</f>
        <v/>
      </c>
      <c r="AO31" s="206" t="str">
        <f t="shared" si="18"/>
        <v/>
      </c>
      <c r="AP31" s="278" t="str">
        <f t="shared" si="19"/>
        <v/>
      </c>
      <c r="AQ31" s="302" t="str">
        <f t="shared" si="20"/>
        <v/>
      </c>
      <c r="AR31" s="278" t="str">
        <f t="shared" si="21"/>
        <v/>
      </c>
      <c r="AT31" s="203" t="str">
        <f>IF($E$9=39,(C31/1000),"")</f>
        <v/>
      </c>
      <c r="AU31" s="268" t="str">
        <f t="shared" si="22"/>
        <v/>
      </c>
      <c r="AV31" s="275" t="str">
        <f t="shared" si="23"/>
        <v/>
      </c>
      <c r="AW31" s="292" t="str">
        <f t="shared" si="24"/>
        <v/>
      </c>
      <c r="AX31" s="290" t="str">
        <f t="shared" si="25"/>
        <v/>
      </c>
      <c r="AZ31" s="203" t="str">
        <f>IF($E$10=39,(C31/1000),"")</f>
        <v/>
      </c>
      <c r="BA31" s="267" t="str">
        <f t="shared" si="26"/>
        <v/>
      </c>
      <c r="BB31" s="275" t="str">
        <f t="shared" si="27"/>
        <v/>
      </c>
      <c r="BC31" s="292" t="str">
        <f t="shared" si="28"/>
        <v/>
      </c>
      <c r="BD31" s="290" t="str">
        <f t="shared" si="29"/>
        <v/>
      </c>
      <c r="BF31" s="296" t="str">
        <f>IF($E$11=39,(C31/1000),"")</f>
        <v/>
      </c>
      <c r="BG31" s="267" t="str">
        <f t="shared" si="30"/>
        <v/>
      </c>
      <c r="BH31" s="275" t="str">
        <f t="shared" si="31"/>
        <v/>
      </c>
      <c r="BI31" s="292" t="str">
        <f t="shared" si="32"/>
        <v/>
      </c>
      <c r="BJ31" s="55" t="str">
        <f t="shared" si="33"/>
        <v/>
      </c>
    </row>
    <row r="32" spans="1:62" ht="13.5" customHeight="1" thickBot="1" x14ac:dyDescent="0.3">
      <c r="A32" s="34" t="b">
        <f t="shared" si="6"/>
        <v>0</v>
      </c>
      <c r="B32" s="61">
        <f>COMPOSITTIONS!A19</f>
        <v>40</v>
      </c>
      <c r="C32" s="282">
        <f>COMPOSITTIONS!B19</f>
        <v>23</v>
      </c>
      <c r="D32" s="284" t="str">
        <f>COMPOSITTIONS!C19</f>
        <v>Lentille noire</v>
      </c>
      <c r="E32" s="276">
        <f t="shared" si="3"/>
        <v>2.3E-2</v>
      </c>
      <c r="F32" s="278" t="e">
        <f>(#REF!+O32+AE32+AJ32+AP32+AV32+BB32+BH32+X32)</f>
        <v>#REF!</v>
      </c>
      <c r="G32" s="271" t="e">
        <f t="shared" si="34"/>
        <v>#REF!</v>
      </c>
      <c r="H32" s="275" t="e">
        <f>(BI32+BC32+AW32+AQ32+AK32+AF32+P32)</f>
        <v>#VALUE!</v>
      </c>
      <c r="I32" s="271" t="e">
        <f t="shared" si="35"/>
        <v>#VALUE!</v>
      </c>
      <c r="J32" s="56"/>
      <c r="K32" s="56"/>
      <c r="L32" s="56"/>
      <c r="M32" s="144">
        <f t="shared" si="8"/>
        <v>2.3E-2</v>
      </c>
      <c r="N32" s="58">
        <f>IF($F$3&lt;&gt;"",(HLOOKUP($F$3,COMPOSITTIONS!$D$2:$AA$66,18,FALSE)),#REF!)</f>
        <v>0</v>
      </c>
      <c r="O32" s="54">
        <f t="shared" si="9"/>
        <v>0</v>
      </c>
      <c r="P32" s="54">
        <f>(O32*1000)/M32</f>
        <v>0</v>
      </c>
      <c r="Q32" s="55" t="e">
        <f>IF(P32=#REF!,"0",(P32/$P$16))</f>
        <v>#REF!</v>
      </c>
      <c r="S32" s="173">
        <f>E32</f>
        <v>2.3E-2</v>
      </c>
      <c r="T32" s="57" t="e">
        <f ca="1">IF(T32=#REF!,"0",$J$4/T32)</f>
        <v>#DIV/0!</v>
      </c>
      <c r="U32" s="57" t="e">
        <f t="shared" si="10"/>
        <v>#VALUE!</v>
      </c>
      <c r="V32" s="305" t="e">
        <f>IF($E$4&gt;10,HLOOKUP($E$4,COMPOSITTIONS!A:V,4,FALSE),#REF!)</f>
        <v>#N/A</v>
      </c>
      <c r="W32" s="278" t="e">
        <f>IF($F$4&lt;&gt;"",(HLOOKUP($F$4,COMPOSITTIONS!$D$2:$AA$66,18,FALSE)),#REF!)</f>
        <v>#REF!</v>
      </c>
      <c r="X32" s="278" t="e">
        <f t="shared" si="11"/>
        <v>#REF!</v>
      </c>
      <c r="Y32" s="57" t="e">
        <f t="shared" si="4"/>
        <v>#REF!</v>
      </c>
      <c r="Z32" s="55" t="e">
        <f>IF(Y32=#REF!,"0",(Y32/$Y$16))</f>
        <v>#REF!</v>
      </c>
      <c r="AB32" s="303" t="str">
        <f>IF($E$6=40,(C32/1000),"")</f>
        <v/>
      </c>
      <c r="AC32" s="282" t="str">
        <f t="shared" si="12"/>
        <v/>
      </c>
      <c r="AD32" s="278" t="str">
        <f t="shared" si="36"/>
        <v/>
      </c>
      <c r="AE32" s="302" t="str">
        <f t="shared" si="5"/>
        <v/>
      </c>
      <c r="AF32" s="278" t="str">
        <f t="shared" si="13"/>
        <v/>
      </c>
      <c r="AH32" s="303" t="str">
        <f>IF($E$7=40,(C32/1000),"")</f>
        <v/>
      </c>
      <c r="AI32" s="206" t="str">
        <f t="shared" si="14"/>
        <v/>
      </c>
      <c r="AJ32" s="278" t="str">
        <f t="shared" si="15"/>
        <v/>
      </c>
      <c r="AK32" s="302" t="str">
        <f t="shared" si="16"/>
        <v/>
      </c>
      <c r="AL32" s="278" t="str">
        <f t="shared" si="17"/>
        <v/>
      </c>
      <c r="AN32" s="303" t="str">
        <f>IF($E$8=40,(C32/1000),"")</f>
        <v/>
      </c>
      <c r="AO32" s="206" t="str">
        <f t="shared" si="18"/>
        <v/>
      </c>
      <c r="AP32" s="278" t="str">
        <f t="shared" si="19"/>
        <v/>
      </c>
      <c r="AQ32" s="302" t="str">
        <f t="shared" si="20"/>
        <v/>
      </c>
      <c r="AR32" s="278" t="str">
        <f t="shared" si="21"/>
        <v/>
      </c>
      <c r="AT32" s="203" t="str">
        <f>IF($E$9=40,(C32/1000),"")</f>
        <v/>
      </c>
      <c r="AU32" s="268" t="str">
        <f t="shared" si="22"/>
        <v/>
      </c>
      <c r="AV32" s="275" t="str">
        <f t="shared" si="23"/>
        <v/>
      </c>
      <c r="AW32" s="292"/>
      <c r="AX32" s="290" t="str">
        <f t="shared" si="25"/>
        <v/>
      </c>
      <c r="AZ32" s="203" t="str">
        <f>IF($E$10=40,(C32/1000),"")</f>
        <v/>
      </c>
      <c r="BA32" s="267" t="str">
        <f t="shared" si="26"/>
        <v/>
      </c>
      <c r="BB32" s="275" t="str">
        <f t="shared" si="27"/>
        <v/>
      </c>
      <c r="BC32" s="292" t="str">
        <f t="shared" si="28"/>
        <v/>
      </c>
      <c r="BD32" s="290" t="str">
        <f t="shared" si="29"/>
        <v/>
      </c>
      <c r="BF32" s="296" t="str">
        <f>IF($E$11=40,(C32/1000),"")</f>
        <v/>
      </c>
      <c r="BG32" s="267" t="str">
        <f t="shared" si="30"/>
        <v/>
      </c>
      <c r="BH32" s="275" t="str">
        <f t="shared" si="31"/>
        <v/>
      </c>
      <c r="BI32" s="292" t="str">
        <f t="shared" si="32"/>
        <v/>
      </c>
      <c r="BJ32" s="55" t="str">
        <f t="shared" si="33"/>
        <v/>
      </c>
    </row>
    <row r="33" spans="1:62" ht="13.5" customHeight="1" thickBot="1" x14ac:dyDescent="0.3">
      <c r="A33" s="34" t="b">
        <f t="shared" si="6"/>
        <v>0</v>
      </c>
      <c r="B33" s="61">
        <f>COMPOSITTIONS!A20</f>
        <v>41</v>
      </c>
      <c r="C33" s="282">
        <f>COMPOSITTIONS!B20</f>
        <v>2</v>
      </c>
      <c r="D33" s="284" t="str">
        <f>COMPOSITTIONS!C20</f>
        <v>Lin</v>
      </c>
      <c r="E33" s="276">
        <f t="shared" si="3"/>
        <v>2E-3</v>
      </c>
      <c r="F33" s="278" t="e">
        <f>(#REF!+O33+AE33+AJ33+AP33+AV33+BB33+BH33+X33)</f>
        <v>#REF!</v>
      </c>
      <c r="G33" s="271" t="e">
        <f t="shared" si="34"/>
        <v>#REF!</v>
      </c>
      <c r="H33" s="275" t="e">
        <f>(BI33+BC33+AW33+AQ33+AK33+AF33+P33)</f>
        <v>#VALUE!</v>
      </c>
      <c r="I33" s="271" t="e">
        <f t="shared" si="35"/>
        <v>#VALUE!</v>
      </c>
      <c r="J33" s="56"/>
      <c r="K33" s="56"/>
      <c r="L33" s="56"/>
      <c r="M33" s="144">
        <f t="shared" si="8"/>
        <v>2E-3</v>
      </c>
      <c r="N33" s="58">
        <f>IF($F$3&lt;&gt;"",(HLOOKUP($F$3,COMPOSITTIONS!$D$2:$AA$66,19,FALSE)),#REF!)</f>
        <v>0</v>
      </c>
      <c r="O33" s="54">
        <f t="shared" si="9"/>
        <v>0</v>
      </c>
      <c r="P33" s="54">
        <f>(O33*1000)/M33</f>
        <v>0</v>
      </c>
      <c r="Q33" s="55" t="e">
        <f>IF(P33=#REF!,"0",(P33/$P$16))</f>
        <v>#REF!</v>
      </c>
      <c r="S33" s="173">
        <f>E33</f>
        <v>2E-3</v>
      </c>
      <c r="T33" s="57" t="e">
        <f ca="1">IF(T33=#REF!,"0",$J$4/T33)</f>
        <v>#DIV/0!</v>
      </c>
      <c r="U33" s="57" t="e">
        <f t="shared" si="10"/>
        <v>#VALUE!</v>
      </c>
      <c r="V33" s="305" t="e">
        <f>IF($E$4&gt;10,HLOOKUP($E$4,COMPOSITTIONS!A:V,4,FALSE),#REF!)</f>
        <v>#N/A</v>
      </c>
      <c r="W33" s="278" t="e">
        <f>IF($F$4&lt;&gt;"",(HLOOKUP($F$4,COMPOSITTIONS!$D$2:$AA$66,19,FALSE)),#REF!)</f>
        <v>#REF!</v>
      </c>
      <c r="X33" s="278" t="e">
        <f t="shared" si="11"/>
        <v>#REF!</v>
      </c>
      <c r="Y33" s="57" t="e">
        <f t="shared" si="4"/>
        <v>#REF!</v>
      </c>
      <c r="Z33" s="55" t="e">
        <f>IF(Y33=#REF!,"0",(Y33/$Y$16))</f>
        <v>#REF!</v>
      </c>
      <c r="AB33" s="303" t="str">
        <f>IF($E$6=41,(C33/1000),"")</f>
        <v/>
      </c>
      <c r="AC33" s="282" t="str">
        <f t="shared" si="12"/>
        <v/>
      </c>
      <c r="AD33" s="278" t="str">
        <f t="shared" si="36"/>
        <v/>
      </c>
      <c r="AE33" s="302" t="str">
        <f t="shared" si="5"/>
        <v/>
      </c>
      <c r="AF33" s="278" t="str">
        <f t="shared" si="13"/>
        <v/>
      </c>
      <c r="AH33" s="303" t="str">
        <f>IF($E$7=41,(C33/1000),"")</f>
        <v/>
      </c>
      <c r="AI33" s="206" t="str">
        <f t="shared" si="14"/>
        <v/>
      </c>
      <c r="AJ33" s="278" t="str">
        <f t="shared" si="15"/>
        <v/>
      </c>
      <c r="AK33" s="302" t="str">
        <f t="shared" si="16"/>
        <v/>
      </c>
      <c r="AL33" s="278" t="str">
        <f t="shared" si="17"/>
        <v/>
      </c>
      <c r="AN33" s="303" t="str">
        <f>IF($E$8=41,(C33/1000),"")</f>
        <v/>
      </c>
      <c r="AO33" s="206" t="str">
        <f t="shared" si="18"/>
        <v/>
      </c>
      <c r="AP33" s="278" t="str">
        <f t="shared" si="19"/>
        <v/>
      </c>
      <c r="AQ33" s="302" t="str">
        <f t="shared" si="20"/>
        <v/>
      </c>
      <c r="AR33" s="278" t="str">
        <f t="shared" si="21"/>
        <v/>
      </c>
      <c r="AT33" s="203" t="str">
        <f>IF($E$9=41,(C33/1000),"")</f>
        <v/>
      </c>
      <c r="AU33" s="268" t="str">
        <f t="shared" si="22"/>
        <v/>
      </c>
      <c r="AV33" s="275" t="str">
        <f t="shared" si="23"/>
        <v/>
      </c>
      <c r="AW33" s="292" t="str">
        <f t="shared" si="24"/>
        <v/>
      </c>
      <c r="AX33" s="290" t="str">
        <f t="shared" si="25"/>
        <v/>
      </c>
      <c r="AZ33" s="203" t="str">
        <f>IF($E$10=41,(C33/1000),"")</f>
        <v/>
      </c>
      <c r="BA33" s="267" t="str">
        <f t="shared" si="26"/>
        <v/>
      </c>
      <c r="BB33" s="275" t="str">
        <f t="shared" si="27"/>
        <v/>
      </c>
      <c r="BC33" s="292" t="str">
        <f t="shared" si="28"/>
        <v/>
      </c>
      <c r="BD33" s="290" t="str">
        <f t="shared" si="29"/>
        <v/>
      </c>
      <c r="BF33" s="296" t="str">
        <f>IF($E$11=41,(C33/1000),"")</f>
        <v/>
      </c>
      <c r="BG33" s="267" t="str">
        <f t="shared" si="30"/>
        <v/>
      </c>
      <c r="BH33" s="275" t="str">
        <f t="shared" si="31"/>
        <v/>
      </c>
      <c r="BI33" s="292" t="str">
        <f t="shared" si="32"/>
        <v/>
      </c>
      <c r="BJ33" s="55" t="str">
        <f t="shared" si="33"/>
        <v/>
      </c>
    </row>
    <row r="34" spans="1:62" ht="13.5" customHeight="1" thickBot="1" x14ac:dyDescent="0.3">
      <c r="A34" s="34" t="b">
        <f t="shared" si="6"/>
        <v>0</v>
      </c>
      <c r="B34" s="61">
        <f>COMPOSITTIONS!A21</f>
        <v>42</v>
      </c>
      <c r="C34" s="282">
        <f>COMPOSITTIONS!B21</f>
        <v>1.2</v>
      </c>
      <c r="D34" s="284" t="str">
        <f>COMPOSITTIONS!C21</f>
        <v>Lotier</v>
      </c>
      <c r="E34" s="276">
        <f t="shared" si="3"/>
        <v>1.1999999999999999E-3</v>
      </c>
      <c r="F34" s="278" t="e">
        <f>(#REF!+O34+AE34+AJ34+AP34+AV34+BB34+BH34+X34)</f>
        <v>#REF!</v>
      </c>
      <c r="G34" s="271" t="e">
        <f t="shared" si="34"/>
        <v>#REF!</v>
      </c>
      <c r="H34" s="275" t="e">
        <f>(BI34+BC34+AW34+AQ34+AK34+AF34+P34)</f>
        <v>#VALUE!</v>
      </c>
      <c r="I34" s="271" t="e">
        <f t="shared" si="35"/>
        <v>#VALUE!</v>
      </c>
      <c r="J34" s="56"/>
      <c r="K34" s="56"/>
      <c r="L34" s="56"/>
      <c r="M34" s="144">
        <f t="shared" si="8"/>
        <v>1.1999999999999999E-3</v>
      </c>
      <c r="N34" s="58">
        <f>IF($F$3&lt;&gt;"",(HLOOKUP($F$3,COMPOSITTIONS!$D$2:$AA$66,20,FALSE)),#REF!)</f>
        <v>0</v>
      </c>
      <c r="O34" s="54">
        <f t="shared" si="9"/>
        <v>0</v>
      </c>
      <c r="P34" s="54">
        <f>(O34*1000)/M34</f>
        <v>0</v>
      </c>
      <c r="Q34" s="55" t="e">
        <f>IF(P34=#REF!,"0",(P34/$P$16))</f>
        <v>#REF!</v>
      </c>
      <c r="S34" s="173">
        <f>E34</f>
        <v>1.1999999999999999E-3</v>
      </c>
      <c r="T34" s="57" t="e">
        <f ca="1">IF(T34=#REF!,"0",$J$4/T34)</f>
        <v>#DIV/0!</v>
      </c>
      <c r="U34" s="57" t="e">
        <f t="shared" si="10"/>
        <v>#VALUE!</v>
      </c>
      <c r="V34" s="305" t="e">
        <f>IF($E$4&gt;10,HLOOKUP($E$4,COMPOSITTIONS!A:V,4,FALSE),#REF!)</f>
        <v>#N/A</v>
      </c>
      <c r="W34" s="278" t="e">
        <f>IF($F$4&lt;&gt;"",(HLOOKUP($F$4,COMPOSITTIONS!$D$2:$AA$66,20,FALSE)),#REF!)</f>
        <v>#REF!</v>
      </c>
      <c r="X34" s="278" t="e">
        <f t="shared" si="11"/>
        <v>#REF!</v>
      </c>
      <c r="Y34" s="57" t="e">
        <f t="shared" si="4"/>
        <v>#REF!</v>
      </c>
      <c r="Z34" s="55" t="e">
        <f>IF(Y34=#REF!,"0",(Y34/$Y$16))</f>
        <v>#REF!</v>
      </c>
      <c r="AB34" s="303" t="str">
        <f>IF($E$6=42,(C34/1000),"")</f>
        <v/>
      </c>
      <c r="AC34" s="282" t="str">
        <f t="shared" si="12"/>
        <v/>
      </c>
      <c r="AD34" s="278" t="str">
        <f t="shared" si="36"/>
        <v/>
      </c>
      <c r="AE34" s="302" t="str">
        <f t="shared" si="5"/>
        <v/>
      </c>
      <c r="AF34" s="278" t="str">
        <f t="shared" si="13"/>
        <v/>
      </c>
      <c r="AH34" s="303" t="str">
        <f>IF($E$7=42,(C34/1000),"")</f>
        <v/>
      </c>
      <c r="AI34" s="206" t="str">
        <f t="shared" si="14"/>
        <v/>
      </c>
      <c r="AJ34" s="278" t="str">
        <f t="shared" si="15"/>
        <v/>
      </c>
      <c r="AK34" s="302" t="str">
        <f t="shared" si="16"/>
        <v/>
      </c>
      <c r="AL34" s="278" t="str">
        <f t="shared" si="17"/>
        <v/>
      </c>
      <c r="AN34" s="303" t="str">
        <f>IF($E$8=42,(C34/1000),"")</f>
        <v/>
      </c>
      <c r="AO34" s="206" t="str">
        <f t="shared" si="18"/>
        <v/>
      </c>
      <c r="AP34" s="278" t="str">
        <f t="shared" si="19"/>
        <v/>
      </c>
      <c r="AQ34" s="302" t="str">
        <f t="shared" si="20"/>
        <v/>
      </c>
      <c r="AR34" s="278" t="str">
        <f t="shared" si="21"/>
        <v/>
      </c>
      <c r="AT34" s="203" t="str">
        <f>IF($E$9=42,(C34/1000),"")</f>
        <v/>
      </c>
      <c r="AU34" s="268" t="str">
        <f t="shared" si="22"/>
        <v/>
      </c>
      <c r="AV34" s="275" t="str">
        <f t="shared" si="23"/>
        <v/>
      </c>
      <c r="AW34" s="292" t="str">
        <f t="shared" si="24"/>
        <v/>
      </c>
      <c r="AX34" s="290" t="str">
        <f t="shared" si="25"/>
        <v/>
      </c>
      <c r="AZ34" s="203" t="str">
        <f>IF($E$10=42,(C34/1000),"")</f>
        <v/>
      </c>
      <c r="BA34" s="267" t="str">
        <f t="shared" si="26"/>
        <v/>
      </c>
      <c r="BB34" s="275" t="str">
        <f t="shared" si="27"/>
        <v/>
      </c>
      <c r="BC34" s="292" t="str">
        <f t="shared" si="28"/>
        <v/>
      </c>
      <c r="BD34" s="290" t="str">
        <f t="shared" si="29"/>
        <v/>
      </c>
      <c r="BF34" s="296" t="str">
        <f>IF($E$11=42,(C34/1000),"")</f>
        <v/>
      </c>
      <c r="BG34" s="267" t="str">
        <f t="shared" si="30"/>
        <v/>
      </c>
      <c r="BH34" s="275" t="str">
        <f t="shared" si="31"/>
        <v/>
      </c>
      <c r="BI34" s="292" t="str">
        <f t="shared" si="32"/>
        <v/>
      </c>
      <c r="BJ34" s="55" t="str">
        <f t="shared" si="33"/>
        <v/>
      </c>
    </row>
    <row r="35" spans="1:62" ht="13.5" customHeight="1" thickBot="1" x14ac:dyDescent="0.3">
      <c r="A35" s="34" t="b">
        <f t="shared" si="6"/>
        <v>0</v>
      </c>
      <c r="B35" s="61">
        <f>COMPOSITTIONS!A22</f>
        <v>43</v>
      </c>
      <c r="C35" s="282">
        <f>COMPOSITTIONS!B22</f>
        <v>2.2000000000000002</v>
      </c>
      <c r="D35" s="284" t="str">
        <f>COMPOSITTIONS!C22</f>
        <v>Luzerne</v>
      </c>
      <c r="E35" s="276">
        <f t="shared" si="3"/>
        <v>2.2000000000000001E-3</v>
      </c>
      <c r="F35" s="278" t="e">
        <f>(#REF!+O35+AE35+AJ35+AP35+AV35+BB35+BH35+X35)</f>
        <v>#REF!</v>
      </c>
      <c r="G35" s="271" t="e">
        <f t="shared" si="34"/>
        <v>#REF!</v>
      </c>
      <c r="H35" s="275" t="e">
        <f>(BI35+BC35+AW35+AQ35+AK35+AF35+P35)</f>
        <v>#VALUE!</v>
      </c>
      <c r="I35" s="271" t="e">
        <f t="shared" si="35"/>
        <v>#VALUE!</v>
      </c>
      <c r="J35" s="56"/>
      <c r="K35" s="56"/>
      <c r="L35" s="56"/>
      <c r="M35" s="144">
        <f t="shared" si="8"/>
        <v>2.2000000000000001E-3</v>
      </c>
      <c r="N35" s="58">
        <f>IF($F$3&lt;&gt;"",(HLOOKUP($F$3,COMPOSITTIONS!$D$2:$AA$66,21,FALSE)),#REF!)</f>
        <v>0</v>
      </c>
      <c r="O35" s="54">
        <f t="shared" si="9"/>
        <v>0</v>
      </c>
      <c r="P35" s="54">
        <f>(O35*1000)/M35</f>
        <v>0</v>
      </c>
      <c r="Q35" s="55" t="e">
        <f>IF(P35=#REF!,"0",(P35/$P$16))</f>
        <v>#REF!</v>
      </c>
      <c r="S35" s="173">
        <f>E35</f>
        <v>2.2000000000000001E-3</v>
      </c>
      <c r="T35" s="57" t="e">
        <f ca="1">IF(T35=#REF!,"0",$J$4/T35)</f>
        <v>#DIV/0!</v>
      </c>
      <c r="U35" s="57" t="e">
        <f t="shared" si="10"/>
        <v>#VALUE!</v>
      </c>
      <c r="V35" s="305" t="e">
        <f>IF($E$4&gt;10,HLOOKUP($E$4,COMPOSITTIONS!A:V,4,FALSE),#REF!)</f>
        <v>#N/A</v>
      </c>
      <c r="W35" s="278" t="e">
        <f>IF($F$4&lt;&gt;"",(HLOOKUP($F$4,COMPOSITTIONS!$D$2:$AA$66,21,FALSE)),#REF!)</f>
        <v>#REF!</v>
      </c>
      <c r="X35" s="278" t="e">
        <f t="shared" si="11"/>
        <v>#REF!</v>
      </c>
      <c r="Y35" s="57" t="e">
        <f t="shared" si="4"/>
        <v>#REF!</v>
      </c>
      <c r="Z35" s="55" t="e">
        <f>IF(Y35=#REF!,"0",(Y35/$Y$16))</f>
        <v>#REF!</v>
      </c>
      <c r="AB35" s="303" t="str">
        <f>IF($E$6=43,(C35/1000),"")</f>
        <v/>
      </c>
      <c r="AC35" s="282" t="str">
        <f t="shared" si="12"/>
        <v/>
      </c>
      <c r="AD35" s="278" t="str">
        <f t="shared" si="36"/>
        <v/>
      </c>
      <c r="AE35" s="302" t="str">
        <f t="shared" si="5"/>
        <v/>
      </c>
      <c r="AF35" s="278" t="str">
        <f t="shared" si="13"/>
        <v/>
      </c>
      <c r="AH35" s="303" t="str">
        <f>IF($E$7=43,(C35/1000),"")</f>
        <v/>
      </c>
      <c r="AI35" s="206" t="str">
        <f t="shared" si="14"/>
        <v/>
      </c>
      <c r="AJ35" s="278" t="str">
        <f t="shared" si="15"/>
        <v/>
      </c>
      <c r="AK35" s="302" t="str">
        <f t="shared" si="16"/>
        <v/>
      </c>
      <c r="AL35" s="278" t="str">
        <f t="shared" si="17"/>
        <v/>
      </c>
      <c r="AN35" s="303" t="str">
        <f>IF($E$8=43,(C35/1000),"")</f>
        <v/>
      </c>
      <c r="AO35" s="206" t="str">
        <f t="shared" si="18"/>
        <v/>
      </c>
      <c r="AP35" s="278" t="str">
        <f t="shared" si="19"/>
        <v/>
      </c>
      <c r="AQ35" s="302" t="str">
        <f t="shared" si="20"/>
        <v/>
      </c>
      <c r="AR35" s="278" t="str">
        <f t="shared" si="21"/>
        <v/>
      </c>
      <c r="AT35" s="203" t="str">
        <f>IF($E$9=43,(C35/1000),"")</f>
        <v/>
      </c>
      <c r="AU35" s="268" t="str">
        <f t="shared" si="22"/>
        <v/>
      </c>
      <c r="AV35" s="275" t="str">
        <f t="shared" si="23"/>
        <v/>
      </c>
      <c r="AW35" s="292" t="str">
        <f t="shared" si="24"/>
        <v/>
      </c>
      <c r="AX35" s="290" t="str">
        <f t="shared" si="25"/>
        <v/>
      </c>
      <c r="AZ35" s="203" t="str">
        <f>IF($E$10=43,(C35/1000),"")</f>
        <v/>
      </c>
      <c r="BA35" s="267" t="str">
        <f t="shared" si="26"/>
        <v/>
      </c>
      <c r="BB35" s="275" t="str">
        <f t="shared" si="27"/>
        <v/>
      </c>
      <c r="BC35" s="292" t="str">
        <f t="shared" si="28"/>
        <v/>
      </c>
      <c r="BD35" s="290" t="str">
        <f t="shared" si="29"/>
        <v/>
      </c>
      <c r="BF35" s="296" t="str">
        <f>IF($E$11=43,(C35/1000),"")</f>
        <v/>
      </c>
      <c r="BG35" s="267" t="str">
        <f t="shared" si="30"/>
        <v/>
      </c>
      <c r="BH35" s="275" t="str">
        <f t="shared" si="31"/>
        <v/>
      </c>
      <c r="BI35" s="292" t="str">
        <f t="shared" si="32"/>
        <v/>
      </c>
      <c r="BJ35" s="55" t="str">
        <f t="shared" si="33"/>
        <v/>
      </c>
    </row>
    <row r="36" spans="1:62" ht="13.5" customHeight="1" thickBot="1" x14ac:dyDescent="0.3">
      <c r="A36" s="34" t="b">
        <f t="shared" si="6"/>
        <v>0</v>
      </c>
      <c r="B36" s="61">
        <f>COMPOSITTIONS!A23</f>
        <v>44</v>
      </c>
      <c r="C36" s="282">
        <f>COMPOSITTIONS!B23</f>
        <v>330</v>
      </c>
      <c r="D36" s="284" t="str">
        <f>COMPOSITTIONS!C23</f>
        <v>Mais</v>
      </c>
      <c r="E36" s="276">
        <f t="shared" si="3"/>
        <v>0.33</v>
      </c>
      <c r="F36" s="278" t="e">
        <f>(#REF!+O36+AE36+AJ36+AP36+AV36+BB36+BH36+X36)</f>
        <v>#REF!</v>
      </c>
      <c r="G36" s="271" t="e">
        <f t="shared" si="34"/>
        <v>#REF!</v>
      </c>
      <c r="H36" s="275" t="e">
        <f>(BI36+BC36+AW36+AQ36+AK36+AF36+P36)</f>
        <v>#VALUE!</v>
      </c>
      <c r="I36" s="271" t="e">
        <f t="shared" si="35"/>
        <v>#VALUE!</v>
      </c>
      <c r="J36" s="56"/>
      <c r="K36" s="56"/>
      <c r="L36" s="56"/>
      <c r="M36" s="144">
        <f t="shared" si="8"/>
        <v>0.33</v>
      </c>
      <c r="N36" s="58">
        <f>IF($F$3&lt;&gt;"",(HLOOKUP($F$3,COMPOSITTIONS!$D$2:$AA$66,22,FALSE)),#REF!)</f>
        <v>0</v>
      </c>
      <c r="O36" s="54">
        <f t="shared" si="9"/>
        <v>0</v>
      </c>
      <c r="P36" s="54">
        <f>(O36*1000)/M36</f>
        <v>0</v>
      </c>
      <c r="Q36" s="55" t="e">
        <f>IF(P36=#REF!,"0",(P36/$P$16))</f>
        <v>#REF!</v>
      </c>
      <c r="S36" s="173">
        <f>E36</f>
        <v>0.33</v>
      </c>
      <c r="T36" s="57" t="e">
        <f ca="1">IF(T36=#REF!,"0",$J$4/T36)</f>
        <v>#DIV/0!</v>
      </c>
      <c r="U36" s="57" t="e">
        <f t="shared" si="10"/>
        <v>#VALUE!</v>
      </c>
      <c r="V36" s="305" t="e">
        <f>IF($E$4&gt;10,HLOOKUP($E$4,COMPOSITTIONS!A:V,4,FALSE),#REF!)</f>
        <v>#N/A</v>
      </c>
      <c r="W36" s="278" t="e">
        <f>IF($F$4&lt;&gt;"",(HLOOKUP($F$4,COMPOSITTIONS!$D$2:$AA$66,22,FALSE)),#REF!)</f>
        <v>#REF!</v>
      </c>
      <c r="X36" s="278" t="e">
        <f t="shared" si="11"/>
        <v>#REF!</v>
      </c>
      <c r="Y36" s="57" t="e">
        <f t="shared" si="4"/>
        <v>#REF!</v>
      </c>
      <c r="Z36" s="55" t="e">
        <f>IF(Y36=#REF!,"0",(Y36/$Y$16))</f>
        <v>#REF!</v>
      </c>
      <c r="AB36" s="303" t="str">
        <f>IF($E$6=44,(C36/1000),"")</f>
        <v/>
      </c>
      <c r="AC36" s="282" t="str">
        <f t="shared" si="12"/>
        <v/>
      </c>
      <c r="AD36" s="278" t="str">
        <f t="shared" si="36"/>
        <v/>
      </c>
      <c r="AE36" s="302" t="str">
        <f t="shared" si="5"/>
        <v/>
      </c>
      <c r="AF36" s="278" t="str">
        <f t="shared" si="13"/>
        <v/>
      </c>
      <c r="AH36" s="303" t="str">
        <f>IF($E$7=44,(C36/1000),"")</f>
        <v/>
      </c>
      <c r="AI36" s="206" t="str">
        <f t="shared" si="14"/>
        <v/>
      </c>
      <c r="AJ36" s="278" t="str">
        <f t="shared" si="15"/>
        <v/>
      </c>
      <c r="AK36" s="302" t="str">
        <f t="shared" si="16"/>
        <v/>
      </c>
      <c r="AL36" s="278" t="str">
        <f t="shared" si="17"/>
        <v/>
      </c>
      <c r="AN36" s="303" t="str">
        <f>IF($E$8=44,(C36/1000),"")</f>
        <v/>
      </c>
      <c r="AO36" s="206" t="str">
        <f t="shared" si="18"/>
        <v/>
      </c>
      <c r="AP36" s="278" t="str">
        <f t="shared" si="19"/>
        <v/>
      </c>
      <c r="AQ36" s="302" t="str">
        <f t="shared" si="20"/>
        <v/>
      </c>
      <c r="AR36" s="278" t="str">
        <f t="shared" si="21"/>
        <v/>
      </c>
      <c r="AT36" s="203" t="str">
        <f>IF($E$9=44,(C36/1000),"")</f>
        <v/>
      </c>
      <c r="AU36" s="268" t="str">
        <f t="shared" si="22"/>
        <v/>
      </c>
      <c r="AV36" s="275" t="str">
        <f t="shared" si="23"/>
        <v/>
      </c>
      <c r="AW36" s="292" t="str">
        <f t="shared" si="24"/>
        <v/>
      </c>
      <c r="AX36" s="290" t="str">
        <f t="shared" si="25"/>
        <v/>
      </c>
      <c r="AZ36" s="203" t="str">
        <f>IF($E$10=44,(C36/1000),"")</f>
        <v/>
      </c>
      <c r="BA36" s="267" t="str">
        <f t="shared" si="26"/>
        <v/>
      </c>
      <c r="BB36" s="275" t="str">
        <f t="shared" si="27"/>
        <v/>
      </c>
      <c r="BC36" s="292" t="str">
        <f t="shared" si="28"/>
        <v/>
      </c>
      <c r="BD36" s="290" t="str">
        <f t="shared" si="29"/>
        <v/>
      </c>
      <c r="BF36" s="296" t="str">
        <f>IF($E$11=44,(C36/1000),"")</f>
        <v/>
      </c>
      <c r="BG36" s="267" t="str">
        <f t="shared" si="30"/>
        <v/>
      </c>
      <c r="BH36" s="275" t="str">
        <f t="shared" si="31"/>
        <v/>
      </c>
      <c r="BI36" s="292" t="str">
        <f t="shared" si="32"/>
        <v/>
      </c>
      <c r="BJ36" s="55" t="str">
        <f t="shared" si="33"/>
        <v/>
      </c>
    </row>
    <row r="37" spans="1:62" ht="13.5" customHeight="1" thickBot="1" x14ac:dyDescent="0.3">
      <c r="A37" s="34" t="b">
        <f t="shared" si="6"/>
        <v>0</v>
      </c>
      <c r="B37" s="61">
        <f>COMPOSITTIONS!A24</f>
        <v>45</v>
      </c>
      <c r="C37" s="282">
        <f>COMPOSITTIONS!B24</f>
        <v>1.8</v>
      </c>
      <c r="D37" s="284" t="str">
        <f>COMPOSITTIONS!C24</f>
        <v>Melilot</v>
      </c>
      <c r="E37" s="276">
        <f t="shared" si="3"/>
        <v>1.8E-3</v>
      </c>
      <c r="F37" s="278" t="e">
        <f>(#REF!+O37+AE37+AJ37+AP37+AV37+BB37+BH37+X37)</f>
        <v>#REF!</v>
      </c>
      <c r="G37" s="271" t="e">
        <f t="shared" si="34"/>
        <v>#REF!</v>
      </c>
      <c r="H37" s="275" t="e">
        <f>(BI37+BC37+AW37+AQ37+AK37+AF37+P37)</f>
        <v>#VALUE!</v>
      </c>
      <c r="I37" s="271" t="e">
        <f t="shared" si="35"/>
        <v>#VALUE!</v>
      </c>
      <c r="J37" s="56"/>
      <c r="K37" s="56"/>
      <c r="L37" s="56"/>
      <c r="M37" s="144">
        <f t="shared" si="8"/>
        <v>1.8E-3</v>
      </c>
      <c r="N37" s="58">
        <f>IF($F$3&lt;&gt;"",(HLOOKUP($F$3,COMPOSITTIONS!$D$2:$AA$66,23,FALSE)),#REF!)</f>
        <v>0</v>
      </c>
      <c r="O37" s="54">
        <f t="shared" si="9"/>
        <v>0</v>
      </c>
      <c r="P37" s="54">
        <f>(O37*1000)/M37</f>
        <v>0</v>
      </c>
      <c r="Q37" s="55" t="e">
        <f>IF(P37=#REF!,"0",(P37/$P$16))</f>
        <v>#REF!</v>
      </c>
      <c r="S37" s="173">
        <f>E37</f>
        <v>1.8E-3</v>
      </c>
      <c r="T37" s="57" t="e">
        <f ca="1">IF(T37=#REF!,"0",$J$4/T37)</f>
        <v>#DIV/0!</v>
      </c>
      <c r="U37" s="57" t="e">
        <f t="shared" si="10"/>
        <v>#VALUE!</v>
      </c>
      <c r="V37" s="305" t="e">
        <f>IF($E$4&gt;10,HLOOKUP($E$4,COMPOSITTIONS!A:V,4,FALSE),#REF!)</f>
        <v>#N/A</v>
      </c>
      <c r="W37" s="278" t="e">
        <f>IF($F$4&lt;&gt;"",(HLOOKUP($F$4,COMPOSITTIONS!$D$2:$AA$66,23,FALSE)),#REF!)</f>
        <v>#REF!</v>
      </c>
      <c r="X37" s="278" t="e">
        <f t="shared" si="11"/>
        <v>#REF!</v>
      </c>
      <c r="Y37" s="57" t="e">
        <f t="shared" si="4"/>
        <v>#REF!</v>
      </c>
      <c r="Z37" s="55" t="e">
        <f>IF(Y37=#REF!,"0",(Y37/$Y$16))</f>
        <v>#REF!</v>
      </c>
      <c r="AB37" s="303" t="str">
        <f>IF($E$6=45,(C37/1000),"")</f>
        <v/>
      </c>
      <c r="AC37" s="282" t="str">
        <f t="shared" si="12"/>
        <v/>
      </c>
      <c r="AD37" s="278" t="str">
        <f t="shared" si="36"/>
        <v/>
      </c>
      <c r="AE37" s="302" t="str">
        <f t="shared" si="5"/>
        <v/>
      </c>
      <c r="AF37" s="278" t="str">
        <f t="shared" si="13"/>
        <v/>
      </c>
      <c r="AH37" s="303" t="str">
        <f>IF($E$7=45,(C37/1000),"")</f>
        <v/>
      </c>
      <c r="AI37" s="206" t="str">
        <f t="shared" si="14"/>
        <v/>
      </c>
      <c r="AJ37" s="278" t="str">
        <f t="shared" si="15"/>
        <v/>
      </c>
      <c r="AK37" s="302" t="str">
        <f t="shared" si="16"/>
        <v/>
      </c>
      <c r="AL37" s="278" t="str">
        <f t="shared" si="17"/>
        <v/>
      </c>
      <c r="AN37" s="303" t="str">
        <f>IF($E$8=45,(C37/1000),"")</f>
        <v/>
      </c>
      <c r="AO37" s="206" t="str">
        <f t="shared" si="18"/>
        <v/>
      </c>
      <c r="AP37" s="278" t="str">
        <f t="shared" si="19"/>
        <v/>
      </c>
      <c r="AQ37" s="302" t="str">
        <f t="shared" si="20"/>
        <v/>
      </c>
      <c r="AR37" s="278" t="str">
        <f t="shared" si="21"/>
        <v/>
      </c>
      <c r="AT37" s="203" t="str">
        <f>IF($E$9=45,(C37/1000),"")</f>
        <v/>
      </c>
      <c r="AU37" s="268" t="str">
        <f t="shared" si="22"/>
        <v/>
      </c>
      <c r="AV37" s="275" t="str">
        <f t="shared" si="23"/>
        <v/>
      </c>
      <c r="AW37" s="292" t="str">
        <f t="shared" si="24"/>
        <v/>
      </c>
      <c r="AX37" s="290" t="str">
        <f t="shared" si="25"/>
        <v/>
      </c>
      <c r="AZ37" s="203" t="str">
        <f>IF($E$10=45,(C37/1000),"")</f>
        <v/>
      </c>
      <c r="BA37" s="267" t="str">
        <f t="shared" si="26"/>
        <v/>
      </c>
      <c r="BB37" s="275" t="str">
        <f t="shared" si="27"/>
        <v/>
      </c>
      <c r="BC37" s="292" t="str">
        <f t="shared" si="28"/>
        <v/>
      </c>
      <c r="BD37" s="290" t="str">
        <f t="shared" si="29"/>
        <v/>
      </c>
      <c r="BF37" s="296" t="str">
        <f>IF($E$11=45,(C37/1000),"")</f>
        <v/>
      </c>
      <c r="BG37" s="267" t="str">
        <f t="shared" si="30"/>
        <v/>
      </c>
      <c r="BH37" s="275" t="str">
        <f t="shared" si="31"/>
        <v/>
      </c>
      <c r="BI37" s="292" t="str">
        <f t="shared" si="32"/>
        <v/>
      </c>
      <c r="BJ37" s="55" t="str">
        <f t="shared" si="33"/>
        <v/>
      </c>
    </row>
    <row r="38" spans="1:62" ht="13.5" customHeight="1" thickBot="1" x14ac:dyDescent="0.3">
      <c r="A38" s="34" t="b">
        <f t="shared" si="6"/>
        <v>0</v>
      </c>
      <c r="B38" s="61">
        <f>COMPOSITTIONS!A25</f>
        <v>46</v>
      </c>
      <c r="C38" s="282">
        <f>COMPOSITTIONS!B25</f>
        <v>1.8</v>
      </c>
      <c r="D38" s="284" t="str">
        <f>COMPOSITTIONS!C25</f>
        <v>Minette</v>
      </c>
      <c r="E38" s="276">
        <f t="shared" si="3"/>
        <v>1.8E-3</v>
      </c>
      <c r="F38" s="278" t="e">
        <f>(#REF!+O38+AE38+AJ38+AP38+AV38+BB38+BH38+X38)</f>
        <v>#REF!</v>
      </c>
      <c r="G38" s="271" t="e">
        <f t="shared" si="34"/>
        <v>#REF!</v>
      </c>
      <c r="H38" s="275" t="e">
        <f>(BI38+BC38+AW38+AQ38+AK38+AF38+P38)</f>
        <v>#VALUE!</v>
      </c>
      <c r="I38" s="271" t="e">
        <f t="shared" si="35"/>
        <v>#VALUE!</v>
      </c>
      <c r="J38" s="56"/>
      <c r="K38" s="56"/>
      <c r="L38" s="56"/>
      <c r="M38" s="144">
        <f t="shared" si="8"/>
        <v>1.8E-3</v>
      </c>
      <c r="N38" s="58">
        <f>IF($F$3&lt;&gt;"",(HLOOKUP($F$3,COMPOSITTIONS!$D$2:$AA$66,24,FALSE)),#REF!)</f>
        <v>0</v>
      </c>
      <c r="O38" s="54">
        <f t="shared" si="9"/>
        <v>0</v>
      </c>
      <c r="P38" s="54">
        <f>(O38*1000)/M38</f>
        <v>0</v>
      </c>
      <c r="Q38" s="55" t="e">
        <f>IF(P38=#REF!,"0",(P38/$P$16))</f>
        <v>#REF!</v>
      </c>
      <c r="S38" s="173">
        <f>E38</f>
        <v>1.8E-3</v>
      </c>
      <c r="T38" s="57" t="e">
        <f ca="1">IF(T38=#REF!,"0",$J$4/T38)</f>
        <v>#DIV/0!</v>
      </c>
      <c r="U38" s="57" t="e">
        <f t="shared" si="10"/>
        <v>#VALUE!</v>
      </c>
      <c r="V38" s="305" t="e">
        <f>IF($E$4&gt;10,HLOOKUP($E$4,COMPOSITTIONS!A:V,4,FALSE),#REF!)</f>
        <v>#N/A</v>
      </c>
      <c r="W38" s="278" t="e">
        <f>IF($F$4&lt;&gt;"",(HLOOKUP($F$4,COMPOSITTIONS!$D$2:$AA$66,24,FALSE)),#REF!)</f>
        <v>#REF!</v>
      </c>
      <c r="X38" s="278" t="e">
        <f t="shared" si="11"/>
        <v>#REF!</v>
      </c>
      <c r="Y38" s="57" t="e">
        <f t="shared" si="4"/>
        <v>#REF!</v>
      </c>
      <c r="Z38" s="55" t="e">
        <f>IF(Y38=#REF!,"0",(Y38/$Y$16))</f>
        <v>#REF!</v>
      </c>
      <c r="AB38" s="303" t="str">
        <f>IF($E$6=46,(C38/1000),"")</f>
        <v/>
      </c>
      <c r="AC38" s="282" t="str">
        <f t="shared" si="12"/>
        <v/>
      </c>
      <c r="AD38" s="278" t="str">
        <f t="shared" si="36"/>
        <v/>
      </c>
      <c r="AE38" s="302" t="str">
        <f t="shared" si="5"/>
        <v/>
      </c>
      <c r="AF38" s="278" t="str">
        <f t="shared" si="13"/>
        <v/>
      </c>
      <c r="AH38" s="303" t="str">
        <f>IF($E$7=46,(C38/1000),"")</f>
        <v/>
      </c>
      <c r="AI38" s="206" t="str">
        <f t="shared" si="14"/>
        <v/>
      </c>
      <c r="AJ38" s="278" t="str">
        <f t="shared" si="15"/>
        <v/>
      </c>
      <c r="AK38" s="302" t="str">
        <f t="shared" si="16"/>
        <v/>
      </c>
      <c r="AL38" s="278" t="str">
        <f t="shared" si="17"/>
        <v/>
      </c>
      <c r="AN38" s="303" t="str">
        <f>IF($E$8=46,(C38/1000),"")</f>
        <v/>
      </c>
      <c r="AO38" s="206" t="str">
        <f t="shared" si="18"/>
        <v/>
      </c>
      <c r="AP38" s="278" t="str">
        <f t="shared" si="19"/>
        <v/>
      </c>
      <c r="AQ38" s="302" t="str">
        <f t="shared" si="20"/>
        <v/>
      </c>
      <c r="AR38" s="278" t="str">
        <f t="shared" si="21"/>
        <v/>
      </c>
      <c r="AT38" s="203" t="str">
        <f>IF($E$9=46,(C38/1000),"")</f>
        <v/>
      </c>
      <c r="AU38" s="268" t="str">
        <f t="shared" si="22"/>
        <v/>
      </c>
      <c r="AV38" s="275" t="str">
        <f t="shared" si="23"/>
        <v/>
      </c>
      <c r="AW38" s="292" t="str">
        <f t="shared" si="24"/>
        <v/>
      </c>
      <c r="AX38" s="290" t="str">
        <f t="shared" si="25"/>
        <v/>
      </c>
      <c r="AZ38" s="203" t="str">
        <f>IF($E$10=46,(C38/1000),"")</f>
        <v/>
      </c>
      <c r="BA38" s="267" t="str">
        <f t="shared" si="26"/>
        <v/>
      </c>
      <c r="BB38" s="275" t="str">
        <f t="shared" si="27"/>
        <v/>
      </c>
      <c r="BC38" s="292" t="str">
        <f t="shared" si="28"/>
        <v/>
      </c>
      <c r="BD38" s="290" t="str">
        <f t="shared" si="29"/>
        <v/>
      </c>
      <c r="BF38" s="296" t="str">
        <f>IF($E$11=46,(C38/1000),"")</f>
        <v/>
      </c>
      <c r="BG38" s="267" t="str">
        <f t="shared" si="30"/>
        <v/>
      </c>
      <c r="BH38" s="275" t="str">
        <f t="shared" si="31"/>
        <v/>
      </c>
      <c r="BI38" s="292" t="str">
        <f t="shared" si="32"/>
        <v/>
      </c>
      <c r="BJ38" s="55" t="str">
        <f t="shared" si="33"/>
        <v/>
      </c>
    </row>
    <row r="39" spans="1:62" ht="13.5" customHeight="1" thickBot="1" x14ac:dyDescent="0.3">
      <c r="A39" s="34" t="b">
        <f t="shared" si="6"/>
        <v>0</v>
      </c>
      <c r="B39" s="61">
        <f>COMPOSITTIONS!A26</f>
        <v>47</v>
      </c>
      <c r="C39" s="282">
        <f>COMPOSITTIONS!B26</f>
        <v>2.5</v>
      </c>
      <c r="D39" s="284" t="str">
        <f>COMPOSITTIONS!C26</f>
        <v>Moha</v>
      </c>
      <c r="E39" s="276">
        <f t="shared" si="3"/>
        <v>2.5000000000000001E-3</v>
      </c>
      <c r="F39" s="278" t="e">
        <f>(#REF!+O39+AE39+AJ39+AP39+AV39+BB39+BH39+X39)</f>
        <v>#REF!</v>
      </c>
      <c r="G39" s="271" t="e">
        <f t="shared" si="34"/>
        <v>#REF!</v>
      </c>
      <c r="H39" s="275" t="e">
        <f>(BI39+BC39+AW39+AQ39+AK39+AF39+P39)</f>
        <v>#VALUE!</v>
      </c>
      <c r="I39" s="271" t="e">
        <f t="shared" si="35"/>
        <v>#VALUE!</v>
      </c>
      <c r="J39" s="56"/>
      <c r="K39" s="56"/>
      <c r="L39" s="56"/>
      <c r="M39" s="144">
        <f t="shared" si="8"/>
        <v>2.5000000000000001E-3</v>
      </c>
      <c r="N39" s="58">
        <f>IF($F$3&lt;&gt;"",(HLOOKUP($F$3,COMPOSITTIONS!$D$2:$AA$66,25,FALSE)),#REF!)</f>
        <v>0</v>
      </c>
      <c r="O39" s="54">
        <f t="shared" si="9"/>
        <v>0</v>
      </c>
      <c r="P39" s="54">
        <f>(O39*1000)/M39</f>
        <v>0</v>
      </c>
      <c r="Q39" s="55" t="e">
        <f>IF(P39=#REF!,"0",(P39/$P$16))</f>
        <v>#REF!</v>
      </c>
      <c r="S39" s="173">
        <f>E39</f>
        <v>2.5000000000000001E-3</v>
      </c>
      <c r="T39" s="57" t="e">
        <f ca="1">IF(T39=#REF!,"0",$J$4/T39)</f>
        <v>#DIV/0!</v>
      </c>
      <c r="U39" s="57" t="e">
        <f t="shared" si="10"/>
        <v>#VALUE!</v>
      </c>
      <c r="V39" s="305" t="e">
        <f>IF($E$4&gt;10,HLOOKUP($E$4,COMPOSITTIONS!A:V,4,FALSE),#REF!)</f>
        <v>#N/A</v>
      </c>
      <c r="W39" s="278" t="e">
        <f>IF($F$4&lt;&gt;"",(HLOOKUP($F$4,COMPOSITTIONS!$D$2:$AA$66,25,FALSE)),#REF!)</f>
        <v>#REF!</v>
      </c>
      <c r="X39" s="278" t="e">
        <f t="shared" si="11"/>
        <v>#REF!</v>
      </c>
      <c r="Y39" s="57" t="e">
        <f t="shared" si="4"/>
        <v>#REF!</v>
      </c>
      <c r="Z39" s="55" t="e">
        <f>IF(Y39=#REF!,"0",(Y39/$Y$16))</f>
        <v>#REF!</v>
      </c>
      <c r="AB39" s="303" t="str">
        <f>IF($E$6=47,(C39/1000),"")</f>
        <v/>
      </c>
      <c r="AC39" s="282" t="str">
        <f t="shared" si="12"/>
        <v/>
      </c>
      <c r="AD39" s="278" t="str">
        <f t="shared" si="36"/>
        <v/>
      </c>
      <c r="AE39" s="302" t="str">
        <f t="shared" si="5"/>
        <v/>
      </c>
      <c r="AF39" s="278" t="str">
        <f t="shared" si="13"/>
        <v/>
      </c>
      <c r="AH39" s="303" t="str">
        <f>IF($E$7=47,(C39/1000),"")</f>
        <v/>
      </c>
      <c r="AI39" s="206" t="str">
        <f t="shared" si="14"/>
        <v/>
      </c>
      <c r="AJ39" s="278" t="str">
        <f t="shared" si="15"/>
        <v/>
      </c>
      <c r="AK39" s="302" t="str">
        <f t="shared" si="16"/>
        <v/>
      </c>
      <c r="AL39" s="278" t="str">
        <f t="shared" si="17"/>
        <v/>
      </c>
      <c r="AN39" s="303" t="str">
        <f>IF($E$8=47,(C39/1000),"")</f>
        <v/>
      </c>
      <c r="AO39" s="206" t="str">
        <f t="shared" si="18"/>
        <v/>
      </c>
      <c r="AP39" s="278" t="str">
        <f t="shared" si="19"/>
        <v/>
      </c>
      <c r="AQ39" s="302" t="str">
        <f t="shared" si="20"/>
        <v/>
      </c>
      <c r="AR39" s="278" t="str">
        <f t="shared" si="21"/>
        <v/>
      </c>
      <c r="AT39" s="203" t="str">
        <f>IF($E$9=47,(C39/1000),"")</f>
        <v/>
      </c>
      <c r="AU39" s="268" t="str">
        <f t="shared" si="22"/>
        <v/>
      </c>
      <c r="AV39" s="275" t="str">
        <f t="shared" si="23"/>
        <v/>
      </c>
      <c r="AW39" s="292" t="str">
        <f t="shared" si="24"/>
        <v/>
      </c>
      <c r="AX39" s="290" t="str">
        <f t="shared" si="25"/>
        <v/>
      </c>
      <c r="AZ39" s="203" t="str">
        <f>IF($E$10=47,(C39/1000),"")</f>
        <v/>
      </c>
      <c r="BA39" s="267" t="str">
        <f t="shared" si="26"/>
        <v/>
      </c>
      <c r="BB39" s="275" t="str">
        <f t="shared" si="27"/>
        <v/>
      </c>
      <c r="BC39" s="292" t="str">
        <f t="shared" si="28"/>
        <v/>
      </c>
      <c r="BD39" s="290" t="str">
        <f t="shared" si="29"/>
        <v/>
      </c>
      <c r="BF39" s="296" t="str">
        <f>IF($E$11=47,(C39/1000),"")</f>
        <v/>
      </c>
      <c r="BG39" s="267" t="str">
        <f t="shared" si="30"/>
        <v/>
      </c>
      <c r="BH39" s="275" t="str">
        <f t="shared" si="31"/>
        <v/>
      </c>
      <c r="BI39" s="292" t="str">
        <f t="shared" si="32"/>
        <v/>
      </c>
      <c r="BJ39" s="55" t="str">
        <f t="shared" si="33"/>
        <v/>
      </c>
    </row>
    <row r="40" spans="1:62" ht="13.5" customHeight="1" thickBot="1" x14ac:dyDescent="0.3">
      <c r="A40" s="34" t="b">
        <f t="shared" si="6"/>
        <v>0</v>
      </c>
      <c r="B40" s="61">
        <f>COMPOSITTIONS!A27</f>
        <v>48</v>
      </c>
      <c r="C40" s="282">
        <f>COMPOSITTIONS!B27</f>
        <v>7</v>
      </c>
      <c r="D40" s="284" t="str">
        <f>COMPOSITTIONS!C27</f>
        <v>Moutarde blanche</v>
      </c>
      <c r="E40" s="276">
        <f t="shared" si="3"/>
        <v>7.0000000000000001E-3</v>
      </c>
      <c r="F40" s="278" t="e">
        <f>(#REF!+O40+AE40+AJ40+AP40+AV40+BB40+BH40+X40)</f>
        <v>#REF!</v>
      </c>
      <c r="G40" s="271" t="e">
        <f t="shared" si="34"/>
        <v>#REF!</v>
      </c>
      <c r="H40" s="275" t="e">
        <f>(BI40+BC40+AW40+AQ40+AK40+AF40+P40)</f>
        <v>#VALUE!</v>
      </c>
      <c r="I40" s="271" t="e">
        <f t="shared" si="35"/>
        <v>#VALUE!</v>
      </c>
      <c r="J40" s="56"/>
      <c r="K40" s="56"/>
      <c r="L40" s="56"/>
      <c r="M40" s="144">
        <f t="shared" si="8"/>
        <v>7.0000000000000001E-3</v>
      </c>
      <c r="N40" s="58">
        <f>IF($F$3&lt;&gt;"",(HLOOKUP($F$3,COMPOSITTIONS!$D$2:$AA$66,26,FALSE)),#REF!)</f>
        <v>0</v>
      </c>
      <c r="O40" s="54">
        <f t="shared" si="9"/>
        <v>0</v>
      </c>
      <c r="P40" s="54">
        <f>(O40*1000)/M40</f>
        <v>0</v>
      </c>
      <c r="Q40" s="55" t="e">
        <f>IF(P40=#REF!,"0",(P40/$P$16))</f>
        <v>#REF!</v>
      </c>
      <c r="S40" s="173">
        <f>E40</f>
        <v>7.0000000000000001E-3</v>
      </c>
      <c r="T40" s="57" t="e">
        <f ca="1">IF(T40=#REF!,"0",$J$4/T40)</f>
        <v>#DIV/0!</v>
      </c>
      <c r="U40" s="57" t="e">
        <f t="shared" si="10"/>
        <v>#VALUE!</v>
      </c>
      <c r="V40" s="305" t="e">
        <f>IF($E$4&gt;10,HLOOKUP($E$4,COMPOSITTIONS!A:V,4,FALSE),#REF!)</f>
        <v>#N/A</v>
      </c>
      <c r="W40" s="278" t="e">
        <f>IF($F$4&lt;&gt;"",(HLOOKUP($F$4,COMPOSITTIONS!$D$2:$AA$66,26,FALSE)),#REF!)</f>
        <v>#REF!</v>
      </c>
      <c r="X40" s="278" t="e">
        <f t="shared" si="11"/>
        <v>#REF!</v>
      </c>
      <c r="Y40" s="57" t="e">
        <f t="shared" si="4"/>
        <v>#REF!</v>
      </c>
      <c r="Z40" s="55" t="e">
        <f>IF(Y40=#REF!,"0",(Y40/$Y$16))</f>
        <v>#REF!</v>
      </c>
      <c r="AB40" s="303" t="str">
        <f>IF($E$6=48,(C40/1000),"")</f>
        <v/>
      </c>
      <c r="AC40" s="282" t="str">
        <f t="shared" si="12"/>
        <v/>
      </c>
      <c r="AD40" s="278" t="str">
        <f t="shared" si="36"/>
        <v/>
      </c>
      <c r="AE40" s="302" t="str">
        <f t="shared" si="5"/>
        <v/>
      </c>
      <c r="AF40" s="278" t="str">
        <f t="shared" si="13"/>
        <v/>
      </c>
      <c r="AH40" s="303" t="str">
        <f>IF($E$7=48,(C40/1000),"")</f>
        <v/>
      </c>
      <c r="AI40" s="206" t="str">
        <f t="shared" si="14"/>
        <v/>
      </c>
      <c r="AJ40" s="278" t="str">
        <f t="shared" si="15"/>
        <v/>
      </c>
      <c r="AK40" s="302" t="str">
        <f t="shared" si="16"/>
        <v/>
      </c>
      <c r="AL40" s="278" t="str">
        <f t="shared" si="17"/>
        <v/>
      </c>
      <c r="AN40" s="303" t="str">
        <f>IF($E$8=48,(C40/1000),"")</f>
        <v/>
      </c>
      <c r="AO40" s="206" t="str">
        <f t="shared" si="18"/>
        <v/>
      </c>
      <c r="AP40" s="278" t="str">
        <f t="shared" si="19"/>
        <v/>
      </c>
      <c r="AQ40" s="302" t="str">
        <f t="shared" si="20"/>
        <v/>
      </c>
      <c r="AR40" s="278" t="str">
        <f t="shared" si="21"/>
        <v/>
      </c>
      <c r="AT40" s="203" t="str">
        <f>IF($E$9=48,(C40/1000),"")</f>
        <v/>
      </c>
      <c r="AU40" s="268" t="str">
        <f t="shared" si="22"/>
        <v/>
      </c>
      <c r="AV40" s="275" t="str">
        <f t="shared" si="23"/>
        <v/>
      </c>
      <c r="AW40" s="292" t="str">
        <f t="shared" si="24"/>
        <v/>
      </c>
      <c r="AX40" s="290" t="str">
        <f t="shared" si="25"/>
        <v/>
      </c>
      <c r="AZ40" s="203" t="str">
        <f>IF($E$10=48,(C40/1000),"")</f>
        <v/>
      </c>
      <c r="BA40" s="267" t="str">
        <f t="shared" si="26"/>
        <v/>
      </c>
      <c r="BB40" s="275" t="str">
        <f t="shared" si="27"/>
        <v/>
      </c>
      <c r="BC40" s="292" t="str">
        <f t="shared" si="28"/>
        <v/>
      </c>
      <c r="BD40" s="290" t="str">
        <f t="shared" si="29"/>
        <v/>
      </c>
      <c r="BF40" s="296" t="str">
        <f>IF($E$11=48,(C40/1000),"")</f>
        <v/>
      </c>
      <c r="BG40" s="267" t="str">
        <f t="shared" si="30"/>
        <v/>
      </c>
      <c r="BH40" s="275" t="str">
        <f t="shared" si="31"/>
        <v/>
      </c>
      <c r="BI40" s="292" t="str">
        <f t="shared" si="32"/>
        <v/>
      </c>
      <c r="BJ40" s="55" t="str">
        <f t="shared" si="33"/>
        <v/>
      </c>
    </row>
    <row r="41" spans="1:62" ht="13.5" customHeight="1" thickBot="1" x14ac:dyDescent="0.3">
      <c r="A41" s="34" t="b">
        <f t="shared" si="6"/>
        <v>0</v>
      </c>
      <c r="B41" s="61">
        <f>COMPOSITTIONS!A28</f>
        <v>49</v>
      </c>
      <c r="C41" s="282">
        <f>COMPOSITTIONS!B28</f>
        <v>5</v>
      </c>
      <c r="D41" s="284" t="str">
        <f>COMPOSITTIONS!C28</f>
        <v>Navette Fourragére</v>
      </c>
      <c r="E41" s="276">
        <f t="shared" si="3"/>
        <v>5.0000000000000001E-3</v>
      </c>
      <c r="F41" s="278" t="e">
        <f>(#REF!+O41+AE41+AJ41+AP41+AV41+BB41+BH41+X41)</f>
        <v>#REF!</v>
      </c>
      <c r="G41" s="271" t="e">
        <f t="shared" si="34"/>
        <v>#REF!</v>
      </c>
      <c r="H41" s="275" t="e">
        <f>(BI41+BC41+AW41+AQ41+AK41+AF41+P41)</f>
        <v>#VALUE!</v>
      </c>
      <c r="I41" s="271" t="e">
        <f t="shared" si="35"/>
        <v>#VALUE!</v>
      </c>
      <c r="J41" s="56"/>
      <c r="K41" s="56"/>
      <c r="L41" s="56"/>
      <c r="M41" s="144">
        <f t="shared" si="8"/>
        <v>5.0000000000000001E-3</v>
      </c>
      <c r="N41" s="58">
        <f>IF($F$3&lt;&gt;"",(HLOOKUP($F$3,COMPOSITTIONS!$D$2:$AA$66,27,FALSE)),#REF!)</f>
        <v>0</v>
      </c>
      <c r="O41" s="54">
        <f t="shared" si="9"/>
        <v>0</v>
      </c>
      <c r="P41" s="54">
        <f>(O41*1000)/M41</f>
        <v>0</v>
      </c>
      <c r="Q41" s="55" t="e">
        <f>IF(P41=#REF!,"0",(P41/$P$16))</f>
        <v>#REF!</v>
      </c>
      <c r="S41" s="173">
        <f>E41</f>
        <v>5.0000000000000001E-3</v>
      </c>
      <c r="T41" s="57" t="e">
        <f ca="1">IF(T41=#REF!,"0",$J$4/T41)</f>
        <v>#DIV/0!</v>
      </c>
      <c r="U41" s="57" t="e">
        <f t="shared" si="10"/>
        <v>#VALUE!</v>
      </c>
      <c r="V41" s="305" t="e">
        <f>IF($E$4&gt;10,HLOOKUP($E$4,COMPOSITTIONS!A:V,4,FALSE),#REF!)</f>
        <v>#N/A</v>
      </c>
      <c r="W41" s="278" t="e">
        <f>IF($F$4&lt;&gt;"",(HLOOKUP($F$4,COMPOSITTIONS!$D$2:$AA$66,27,FALSE)),#REF!)</f>
        <v>#REF!</v>
      </c>
      <c r="X41" s="278" t="e">
        <f t="shared" si="11"/>
        <v>#REF!</v>
      </c>
      <c r="Y41" s="57" t="e">
        <f t="shared" si="4"/>
        <v>#REF!</v>
      </c>
      <c r="Z41" s="55" t="e">
        <f>IF(Y41=#REF!,"0",(Y41/$Y$16))</f>
        <v>#REF!</v>
      </c>
      <c r="AB41" s="303" t="str">
        <f>IF($E$6=49,(C41/1000),"")</f>
        <v/>
      </c>
      <c r="AC41" s="282" t="str">
        <f t="shared" si="12"/>
        <v/>
      </c>
      <c r="AD41" s="278" t="str">
        <f t="shared" si="36"/>
        <v/>
      </c>
      <c r="AE41" s="302" t="str">
        <f t="shared" si="5"/>
        <v/>
      </c>
      <c r="AF41" s="278" t="str">
        <f t="shared" si="13"/>
        <v/>
      </c>
      <c r="AH41" s="303" t="str">
        <f>IF($E$7=49,(C41/1000),"")</f>
        <v/>
      </c>
      <c r="AI41" s="206" t="str">
        <f t="shared" si="14"/>
        <v/>
      </c>
      <c r="AJ41" s="278" t="str">
        <f t="shared" si="15"/>
        <v/>
      </c>
      <c r="AK41" s="302" t="str">
        <f t="shared" si="16"/>
        <v/>
      </c>
      <c r="AL41" s="278" t="str">
        <f t="shared" si="17"/>
        <v/>
      </c>
      <c r="AN41" s="303" t="str">
        <f>IF($E$8=49,(C41/1000),"")</f>
        <v/>
      </c>
      <c r="AO41" s="206" t="str">
        <f t="shared" si="18"/>
        <v/>
      </c>
      <c r="AP41" s="278" t="str">
        <f t="shared" si="19"/>
        <v/>
      </c>
      <c r="AQ41" s="302" t="str">
        <f t="shared" si="20"/>
        <v/>
      </c>
      <c r="AR41" s="278" t="str">
        <f t="shared" si="21"/>
        <v/>
      </c>
      <c r="AT41" s="203" t="str">
        <f>IF($E$9=49,(C41/1000),"")</f>
        <v/>
      </c>
      <c r="AU41" s="268" t="str">
        <f t="shared" si="22"/>
        <v/>
      </c>
      <c r="AV41" s="275" t="str">
        <f t="shared" si="23"/>
        <v/>
      </c>
      <c r="AW41" s="292" t="str">
        <f t="shared" si="24"/>
        <v/>
      </c>
      <c r="AX41" s="290" t="str">
        <f t="shared" si="25"/>
        <v/>
      </c>
      <c r="AZ41" s="203" t="str">
        <f>IF($E$10=49,(C41/1000),"")</f>
        <v/>
      </c>
      <c r="BA41" s="267" t="str">
        <f t="shared" si="26"/>
        <v/>
      </c>
      <c r="BB41" s="275" t="str">
        <f t="shared" si="27"/>
        <v/>
      </c>
      <c r="BC41" s="292" t="str">
        <f t="shared" si="28"/>
        <v/>
      </c>
      <c r="BD41" s="290" t="str">
        <f t="shared" si="29"/>
        <v/>
      </c>
      <c r="BF41" s="296" t="str">
        <f>IF($E$11=49,(C41/1000),"")</f>
        <v/>
      </c>
      <c r="BG41" s="267" t="str">
        <f t="shared" si="30"/>
        <v/>
      </c>
      <c r="BH41" s="275" t="str">
        <f t="shared" si="31"/>
        <v/>
      </c>
      <c r="BI41" s="292" t="str">
        <f t="shared" si="32"/>
        <v/>
      </c>
      <c r="BJ41" s="55" t="str">
        <f t="shared" si="33"/>
        <v/>
      </c>
    </row>
    <row r="42" spans="1:62" ht="13.5" customHeight="1" thickBot="1" x14ac:dyDescent="0.3">
      <c r="A42" s="34" t="b">
        <f t="shared" si="6"/>
        <v>0</v>
      </c>
      <c r="B42" s="61">
        <f>COMPOSITTIONS!A29</f>
        <v>50</v>
      </c>
      <c r="C42" s="282">
        <f>COMPOSITTIONS!B29</f>
        <v>3.2</v>
      </c>
      <c r="D42" s="284" t="str">
        <f>COMPOSITTIONS!C29</f>
        <v>Nyger</v>
      </c>
      <c r="E42" s="276">
        <f t="shared" si="3"/>
        <v>3.2000000000000002E-3</v>
      </c>
      <c r="F42" s="278" t="e">
        <f>(#REF!+O42+AE42+AJ42+AP42+AV42+BB42+BH42+X42)</f>
        <v>#REF!</v>
      </c>
      <c r="G42" s="271" t="e">
        <f t="shared" si="34"/>
        <v>#REF!</v>
      </c>
      <c r="H42" s="275" t="e">
        <f>(BI42+BC42+AW42+AQ42+AK42+AF42+P42)</f>
        <v>#VALUE!</v>
      </c>
      <c r="I42" s="271" t="e">
        <f t="shared" si="35"/>
        <v>#VALUE!</v>
      </c>
      <c r="J42" s="56"/>
      <c r="K42" s="56"/>
      <c r="L42" s="56"/>
      <c r="M42" s="144">
        <f t="shared" si="8"/>
        <v>3.2000000000000002E-3</v>
      </c>
      <c r="N42" s="58">
        <f>IF($F$3&lt;&gt;"",(HLOOKUP($F$3,COMPOSITTIONS!$D$2:$AA$66,28,FALSE)),#REF!)</f>
        <v>0</v>
      </c>
      <c r="O42" s="54">
        <f t="shared" si="9"/>
        <v>0</v>
      </c>
      <c r="P42" s="54">
        <f>(O42*1000)/M42</f>
        <v>0</v>
      </c>
      <c r="Q42" s="55" t="e">
        <f>IF(P42=#REF!,"0",(P42/$P$16))</f>
        <v>#REF!</v>
      </c>
      <c r="S42" s="173">
        <f>E42</f>
        <v>3.2000000000000002E-3</v>
      </c>
      <c r="T42" s="57" t="e">
        <f ca="1">IF(T42=#REF!,"0",$J$4/T42)</f>
        <v>#DIV/0!</v>
      </c>
      <c r="U42" s="57" t="e">
        <f t="shared" si="10"/>
        <v>#VALUE!</v>
      </c>
      <c r="V42" s="305" t="e">
        <f>IF($E$4&gt;10,HLOOKUP($E$4,COMPOSITTIONS!A:V,4,FALSE),#REF!)</f>
        <v>#N/A</v>
      </c>
      <c r="W42" s="278" t="e">
        <f>IF($F$4&lt;&gt;"",(HLOOKUP($F$4,COMPOSITTIONS!$D$2:$AA$66,28,FALSE)),#REF!)</f>
        <v>#REF!</v>
      </c>
      <c r="X42" s="278" t="e">
        <f t="shared" si="11"/>
        <v>#REF!</v>
      </c>
      <c r="Y42" s="57" t="e">
        <f t="shared" si="4"/>
        <v>#REF!</v>
      </c>
      <c r="Z42" s="55" t="e">
        <f>IF(Y42=#REF!,"0",(Y42/$Y$16))</f>
        <v>#REF!</v>
      </c>
      <c r="AB42" s="303" t="str">
        <f>IF($E$6=50,(C42/1000),"")</f>
        <v/>
      </c>
      <c r="AC42" s="282" t="str">
        <f t="shared" si="12"/>
        <v/>
      </c>
      <c r="AD42" s="278" t="str">
        <f t="shared" si="36"/>
        <v/>
      </c>
      <c r="AE42" s="302" t="str">
        <f t="shared" si="5"/>
        <v/>
      </c>
      <c r="AF42" s="278" t="str">
        <f t="shared" si="13"/>
        <v/>
      </c>
      <c r="AH42" s="303" t="str">
        <f>IF($E$7=50,(C42/1000),"")</f>
        <v/>
      </c>
      <c r="AI42" s="206" t="str">
        <f t="shared" si="14"/>
        <v/>
      </c>
      <c r="AJ42" s="278" t="str">
        <f t="shared" si="15"/>
        <v/>
      </c>
      <c r="AK42" s="302" t="str">
        <f t="shared" si="16"/>
        <v/>
      </c>
      <c r="AL42" s="278" t="str">
        <f t="shared" si="17"/>
        <v/>
      </c>
      <c r="AN42" s="303" t="str">
        <f>IF($E$8=50,(C42/1000),"")</f>
        <v/>
      </c>
      <c r="AO42" s="206" t="str">
        <f t="shared" si="18"/>
        <v/>
      </c>
      <c r="AP42" s="278" t="str">
        <f t="shared" si="19"/>
        <v/>
      </c>
      <c r="AQ42" s="302" t="str">
        <f t="shared" si="20"/>
        <v/>
      </c>
      <c r="AR42" s="278" t="str">
        <f t="shared" si="21"/>
        <v/>
      </c>
      <c r="AT42" s="203" t="str">
        <f>IF($E$9=50,(C42/1000),"")</f>
        <v/>
      </c>
      <c r="AU42" s="268" t="str">
        <f t="shared" si="22"/>
        <v/>
      </c>
      <c r="AV42" s="275" t="str">
        <f t="shared" si="23"/>
        <v/>
      </c>
      <c r="AW42" s="292" t="str">
        <f t="shared" si="24"/>
        <v/>
      </c>
      <c r="AX42" s="290" t="str">
        <f t="shared" si="25"/>
        <v/>
      </c>
      <c r="AZ42" s="203" t="str">
        <f>IF($E$10=50,(C42/1000),"")</f>
        <v/>
      </c>
      <c r="BA42" s="267" t="str">
        <f t="shared" si="26"/>
        <v/>
      </c>
      <c r="BB42" s="275" t="str">
        <f t="shared" si="27"/>
        <v/>
      </c>
      <c r="BC42" s="292" t="str">
        <f t="shared" si="28"/>
        <v/>
      </c>
      <c r="BD42" s="290" t="str">
        <f t="shared" si="29"/>
        <v/>
      </c>
      <c r="BF42" s="296" t="str">
        <f>IF($E$11=50,(C42/1000),"")</f>
        <v/>
      </c>
      <c r="BG42" s="267" t="str">
        <f t="shared" si="30"/>
        <v/>
      </c>
      <c r="BH42" s="275" t="str">
        <f t="shared" si="31"/>
        <v/>
      </c>
      <c r="BI42" s="292" t="str">
        <f t="shared" si="32"/>
        <v/>
      </c>
      <c r="BJ42" s="55" t="str">
        <f t="shared" si="33"/>
        <v/>
      </c>
    </row>
    <row r="43" spans="1:62" ht="13.5" customHeight="1" thickBot="1" x14ac:dyDescent="0.3">
      <c r="A43" s="34" t="b">
        <f t="shared" si="6"/>
        <v>0</v>
      </c>
      <c r="B43" s="61">
        <f>COMPOSITTIONS!A30</f>
        <v>51</v>
      </c>
      <c r="C43" s="282">
        <f>COMPOSITTIONS!B30</f>
        <v>0.28999999999999998</v>
      </c>
      <c r="D43" s="284" t="str">
        <f>COMPOSITTIONS!C30</f>
        <v>Pâturin des prés</v>
      </c>
      <c r="E43" s="276">
        <f t="shared" si="3"/>
        <v>2.9E-4</v>
      </c>
      <c r="F43" s="278" t="e">
        <f>(#REF!+O43+AE43+AJ43+AP43+AV43+BB43+BH43+X43)</f>
        <v>#REF!</v>
      </c>
      <c r="G43" s="271" t="e">
        <f t="shared" si="34"/>
        <v>#REF!</v>
      </c>
      <c r="H43" s="275" t="e">
        <f>(BI43+BC43+AW43+AQ43+AK43+AF43+P43)</f>
        <v>#VALUE!</v>
      </c>
      <c r="I43" s="271" t="e">
        <f t="shared" si="35"/>
        <v>#VALUE!</v>
      </c>
      <c r="J43" s="56"/>
      <c r="K43" s="56"/>
      <c r="L43" s="56"/>
      <c r="M43" s="144">
        <f t="shared" si="8"/>
        <v>2.9E-4</v>
      </c>
      <c r="N43" s="58">
        <f>IF($F$3&lt;&gt;"",(HLOOKUP($F$3,COMPOSITTIONS!$D$2:$AA$66,29,FALSE)),#REF!)</f>
        <v>0</v>
      </c>
      <c r="O43" s="54">
        <f t="shared" si="9"/>
        <v>0</v>
      </c>
      <c r="P43" s="54">
        <f>(O43*1000)/M43</f>
        <v>0</v>
      </c>
      <c r="Q43" s="55" t="e">
        <f>IF(P43=#REF!,"0",(P43/$P$16))</f>
        <v>#REF!</v>
      </c>
      <c r="S43" s="173">
        <f>E43</f>
        <v>2.9E-4</v>
      </c>
      <c r="T43" s="57" t="e">
        <f ca="1">IF(T43=#REF!,"0",$J$4/T43)</f>
        <v>#DIV/0!</v>
      </c>
      <c r="U43" s="57" t="e">
        <f t="shared" si="10"/>
        <v>#VALUE!</v>
      </c>
      <c r="V43" s="305" t="e">
        <f>IF($E$4&gt;10,HLOOKUP($E$4,COMPOSITTIONS!A:V,4,FALSE),#REF!)</f>
        <v>#N/A</v>
      </c>
      <c r="W43" s="278" t="e">
        <f>IF($F$4&lt;&gt;"",(HLOOKUP($F$4,COMPOSITTIONS!$D$2:$AA$66,29,FALSE)),#REF!)</f>
        <v>#REF!</v>
      </c>
      <c r="X43" s="278" t="e">
        <f t="shared" si="11"/>
        <v>#REF!</v>
      </c>
      <c r="Y43" s="57" t="e">
        <f t="shared" si="4"/>
        <v>#REF!</v>
      </c>
      <c r="Z43" s="55" t="e">
        <f>IF(Y43=#REF!,"0",(Y43/$Y$16))</f>
        <v>#REF!</v>
      </c>
      <c r="AB43" s="303" t="str">
        <f>IF($E$6=51,(C43/1000),"")</f>
        <v/>
      </c>
      <c r="AC43" s="282" t="str">
        <f t="shared" si="12"/>
        <v/>
      </c>
      <c r="AD43" s="278" t="str">
        <f t="shared" si="36"/>
        <v/>
      </c>
      <c r="AE43" s="302" t="str">
        <f t="shared" si="5"/>
        <v/>
      </c>
      <c r="AF43" s="278" t="str">
        <f t="shared" si="13"/>
        <v/>
      </c>
      <c r="AH43" s="303" t="str">
        <f>IF($E$7=51,(C43/1000),"")</f>
        <v/>
      </c>
      <c r="AI43" s="206" t="str">
        <f t="shared" si="14"/>
        <v/>
      </c>
      <c r="AJ43" s="278" t="str">
        <f t="shared" si="15"/>
        <v/>
      </c>
      <c r="AK43" s="302" t="str">
        <f t="shared" si="16"/>
        <v/>
      </c>
      <c r="AL43" s="278" t="str">
        <f t="shared" si="17"/>
        <v/>
      </c>
      <c r="AN43" s="303" t="str">
        <f>IF($E$8=51,(C43/1000),"")</f>
        <v/>
      </c>
      <c r="AO43" s="206" t="str">
        <f t="shared" si="18"/>
        <v/>
      </c>
      <c r="AP43" s="278" t="str">
        <f t="shared" si="19"/>
        <v/>
      </c>
      <c r="AQ43" s="302" t="str">
        <f t="shared" si="20"/>
        <v/>
      </c>
      <c r="AR43" s="278" t="str">
        <f t="shared" si="21"/>
        <v/>
      </c>
      <c r="AT43" s="203" t="str">
        <f>IF($E$9=51,(C43/1000),"")</f>
        <v/>
      </c>
      <c r="AU43" s="268" t="str">
        <f t="shared" si="22"/>
        <v/>
      </c>
      <c r="AV43" s="275" t="str">
        <f t="shared" si="23"/>
        <v/>
      </c>
      <c r="AW43" s="292" t="str">
        <f t="shared" si="24"/>
        <v/>
      </c>
      <c r="AX43" s="290" t="str">
        <f t="shared" si="25"/>
        <v/>
      </c>
      <c r="AZ43" s="203" t="str">
        <f>IF($E$10=51,(C43/1000),"")</f>
        <v/>
      </c>
      <c r="BA43" s="267" t="str">
        <f t="shared" si="26"/>
        <v/>
      </c>
      <c r="BB43" s="275" t="str">
        <f t="shared" si="27"/>
        <v/>
      </c>
      <c r="BC43" s="292" t="str">
        <f t="shared" si="28"/>
        <v/>
      </c>
      <c r="BD43" s="290" t="str">
        <f t="shared" si="29"/>
        <v/>
      </c>
      <c r="BF43" s="296" t="str">
        <f>IF($E$11=51,(C43/1000),"")</f>
        <v/>
      </c>
      <c r="BG43" s="267" t="str">
        <f t="shared" si="30"/>
        <v/>
      </c>
      <c r="BH43" s="275" t="str">
        <f t="shared" si="31"/>
        <v/>
      </c>
      <c r="BI43" s="292" t="str">
        <f t="shared" si="32"/>
        <v/>
      </c>
      <c r="BJ43" s="55" t="str">
        <f t="shared" si="33"/>
        <v/>
      </c>
    </row>
    <row r="44" spans="1:62" ht="13.5" customHeight="1" thickBot="1" x14ac:dyDescent="0.3">
      <c r="A44" s="34" t="b">
        <f t="shared" si="6"/>
        <v>0</v>
      </c>
      <c r="B44" s="61">
        <f>COMPOSITTIONS!A31</f>
        <v>52</v>
      </c>
      <c r="C44" s="282">
        <f>COMPOSITTIONS!B31</f>
        <v>1.8</v>
      </c>
      <c r="D44" s="284" t="str">
        <f>COMPOSITTIONS!C31</f>
        <v>Phacélie</v>
      </c>
      <c r="E44" s="276">
        <f t="shared" si="3"/>
        <v>1.8E-3</v>
      </c>
      <c r="F44" s="278" t="e">
        <f>(#REF!+O44+AE44+AJ44+AP44+AV44+BB44+BH44+X44)</f>
        <v>#REF!</v>
      </c>
      <c r="G44" s="271" t="e">
        <f t="shared" si="34"/>
        <v>#REF!</v>
      </c>
      <c r="H44" s="275" t="e">
        <f>(BI44+BC44+AW44+AQ44+AK44+AF44+P44)</f>
        <v>#VALUE!</v>
      </c>
      <c r="I44" s="271" t="e">
        <f t="shared" si="35"/>
        <v>#VALUE!</v>
      </c>
      <c r="J44" s="56"/>
      <c r="K44" s="56"/>
      <c r="L44" s="56"/>
      <c r="M44" s="144">
        <f t="shared" si="8"/>
        <v>1.8E-3</v>
      </c>
      <c r="N44" s="58">
        <f>IF($F$3&lt;&gt;"",(HLOOKUP($F$3,COMPOSITTIONS!$D$2:$AA$66,30,FALSE)),#REF!)</f>
        <v>0</v>
      </c>
      <c r="O44" s="54">
        <f t="shared" si="9"/>
        <v>0</v>
      </c>
      <c r="P44" s="54">
        <f>(O44*1000)/M44</f>
        <v>0</v>
      </c>
      <c r="Q44" s="55" t="e">
        <f>IF(P44=#REF!,"0",(P44/$P$16))</f>
        <v>#REF!</v>
      </c>
      <c r="S44" s="173">
        <f>E44</f>
        <v>1.8E-3</v>
      </c>
      <c r="T44" s="57" t="e">
        <f ca="1">IF(T44=#REF!,"0",$J$4/T44)</f>
        <v>#DIV/0!</v>
      </c>
      <c r="U44" s="57" t="e">
        <f t="shared" si="10"/>
        <v>#VALUE!</v>
      </c>
      <c r="V44" s="305" t="e">
        <f>IF($E$4&gt;10,HLOOKUP($E$4,COMPOSITTIONS!A:V,4,FALSE),#REF!)</f>
        <v>#N/A</v>
      </c>
      <c r="W44" s="278" t="e">
        <f>IF($F$4&lt;&gt;"",(HLOOKUP($F$4,COMPOSITTIONS!$D$2:$AA$66,30,FALSE)),#REF!)</f>
        <v>#REF!</v>
      </c>
      <c r="X44" s="278" t="e">
        <f t="shared" si="11"/>
        <v>#REF!</v>
      </c>
      <c r="Y44" s="57" t="e">
        <f t="shared" si="4"/>
        <v>#REF!</v>
      </c>
      <c r="Z44" s="55" t="e">
        <f>IF(Y44=#REF!,"0",(Y44/$Y$16))</f>
        <v>#REF!</v>
      </c>
      <c r="AB44" s="303" t="str">
        <f>IF($E$6=52,(C44/1000),"")</f>
        <v/>
      </c>
      <c r="AC44" s="282" t="str">
        <f t="shared" si="12"/>
        <v/>
      </c>
      <c r="AD44" s="278" t="str">
        <f t="shared" si="36"/>
        <v/>
      </c>
      <c r="AE44" s="302" t="str">
        <f t="shared" si="5"/>
        <v/>
      </c>
      <c r="AF44" s="278" t="str">
        <f t="shared" si="13"/>
        <v/>
      </c>
      <c r="AH44" s="303" t="str">
        <f>IF($E$7=52,(C44/1000),"")</f>
        <v/>
      </c>
      <c r="AI44" s="206" t="str">
        <f t="shared" si="14"/>
        <v/>
      </c>
      <c r="AJ44" s="278" t="str">
        <f t="shared" si="15"/>
        <v/>
      </c>
      <c r="AK44" s="302" t="str">
        <f t="shared" si="16"/>
        <v/>
      </c>
      <c r="AL44" s="278" t="str">
        <f t="shared" si="17"/>
        <v/>
      </c>
      <c r="AN44" s="303" t="str">
        <f>IF($E$8=52,(C44/1000),"")</f>
        <v/>
      </c>
      <c r="AO44" s="206" t="str">
        <f t="shared" si="18"/>
        <v/>
      </c>
      <c r="AP44" s="278" t="str">
        <f t="shared" si="19"/>
        <v/>
      </c>
      <c r="AQ44" s="302" t="str">
        <f t="shared" si="20"/>
        <v/>
      </c>
      <c r="AR44" s="278" t="str">
        <f t="shared" si="21"/>
        <v/>
      </c>
      <c r="AT44" s="203" t="str">
        <f>IF($E$9=52,(C44/1000),"")</f>
        <v/>
      </c>
      <c r="AU44" s="268" t="str">
        <f t="shared" si="22"/>
        <v/>
      </c>
      <c r="AV44" s="275" t="str">
        <f t="shared" si="23"/>
        <v/>
      </c>
      <c r="AW44" s="292" t="str">
        <f t="shared" si="24"/>
        <v/>
      </c>
      <c r="AX44" s="290" t="str">
        <f t="shared" si="25"/>
        <v/>
      </c>
      <c r="AZ44" s="203" t="str">
        <f>IF($E$10=52,(C44/1000),"")</f>
        <v/>
      </c>
      <c r="BA44" s="268" t="str">
        <f t="shared" si="26"/>
        <v/>
      </c>
      <c r="BB44" s="275" t="str">
        <f t="shared" si="27"/>
        <v/>
      </c>
      <c r="BC44" s="292" t="str">
        <f t="shared" si="28"/>
        <v/>
      </c>
      <c r="BD44" s="290" t="str">
        <f t="shared" si="29"/>
        <v/>
      </c>
      <c r="BF44" s="296" t="str">
        <f>IF($E$11=52,(C44/1000),"")</f>
        <v/>
      </c>
      <c r="BG44" s="267" t="str">
        <f t="shared" si="30"/>
        <v/>
      </c>
      <c r="BH44" s="275" t="str">
        <f t="shared" si="31"/>
        <v/>
      </c>
      <c r="BI44" s="292" t="str">
        <f t="shared" si="32"/>
        <v/>
      </c>
      <c r="BJ44" s="55" t="str">
        <f t="shared" si="33"/>
        <v/>
      </c>
    </row>
    <row r="45" spans="1:62" ht="13.5" customHeight="1" thickBot="1" x14ac:dyDescent="0.3">
      <c r="A45" s="34" t="b">
        <f t="shared" si="6"/>
        <v>0</v>
      </c>
      <c r="B45" s="61">
        <f>COMPOSITTIONS!A32</f>
        <v>53</v>
      </c>
      <c r="C45" s="282">
        <f>COMPOSITTIONS!B32</f>
        <v>1.65</v>
      </c>
      <c r="D45" s="284" t="str">
        <f>COMPOSITTIONS!C32</f>
        <v>Plantain</v>
      </c>
      <c r="E45" s="276">
        <f t="shared" si="3"/>
        <v>1.65E-3</v>
      </c>
      <c r="F45" s="278" t="e">
        <f>(#REF!+O45+AE45+AJ45+AP45+AV45+BB45+BH45+X45)</f>
        <v>#REF!</v>
      </c>
      <c r="G45" s="271" t="e">
        <f t="shared" si="34"/>
        <v>#REF!</v>
      </c>
      <c r="H45" s="275" t="e">
        <f>(BI45+BC45+AW45+AQ45+AK45+AF45+P45)</f>
        <v>#VALUE!</v>
      </c>
      <c r="I45" s="271" t="e">
        <f t="shared" si="35"/>
        <v>#VALUE!</v>
      </c>
      <c r="J45" s="56"/>
      <c r="K45" s="56"/>
      <c r="L45" s="56"/>
      <c r="M45" s="144">
        <f t="shared" si="8"/>
        <v>1.65E-3</v>
      </c>
      <c r="N45" s="58">
        <f>IF($F$3&lt;&gt;"",(HLOOKUP($F$3,COMPOSITTIONS!$D$2:$AA$66,31,FALSE)),#REF!)</f>
        <v>0</v>
      </c>
      <c r="O45" s="54">
        <f t="shared" si="9"/>
        <v>0</v>
      </c>
      <c r="P45" s="54">
        <f>(O45*1000)/M45</f>
        <v>0</v>
      </c>
      <c r="Q45" s="55" t="e">
        <f>IF(P45=#REF!,"0",(P45/$P$16))</f>
        <v>#REF!</v>
      </c>
      <c r="S45" s="173">
        <f>E45</f>
        <v>1.65E-3</v>
      </c>
      <c r="T45" s="57" t="e">
        <f ca="1">IF(T45=#REF!,"0",$J$4/T45)</f>
        <v>#DIV/0!</v>
      </c>
      <c r="U45" s="57" t="e">
        <f t="shared" si="10"/>
        <v>#VALUE!</v>
      </c>
      <c r="V45" s="305" t="e">
        <f>IF($E$4&gt;10,HLOOKUP($E$4,COMPOSITTIONS!A:V,4,FALSE),#REF!)</f>
        <v>#N/A</v>
      </c>
      <c r="W45" s="278" t="e">
        <f>IF($F$4&lt;&gt;"",(HLOOKUP($F$4,COMPOSITTIONS!$D$2:$AA$66,31,FALSE)),#REF!)</f>
        <v>#REF!</v>
      </c>
      <c r="X45" s="278" t="e">
        <f t="shared" si="11"/>
        <v>#REF!</v>
      </c>
      <c r="Y45" s="57" t="e">
        <f t="shared" si="4"/>
        <v>#REF!</v>
      </c>
      <c r="Z45" s="55" t="e">
        <f>IF(Y45=#REF!,"0",(Y45/$Y$16))</f>
        <v>#REF!</v>
      </c>
      <c r="AB45" s="303" t="str">
        <f>IF($E$6=53,(C45/1000),"")</f>
        <v/>
      </c>
      <c r="AC45" s="282" t="str">
        <f t="shared" si="12"/>
        <v/>
      </c>
      <c r="AD45" s="278" t="str">
        <f t="shared" si="36"/>
        <v/>
      </c>
      <c r="AE45" s="302" t="str">
        <f t="shared" si="5"/>
        <v/>
      </c>
      <c r="AF45" s="278" t="str">
        <f t="shared" si="13"/>
        <v/>
      </c>
      <c r="AH45" s="303" t="str">
        <f>IF($E$7=53,(C45/1000),"")</f>
        <v/>
      </c>
      <c r="AI45" s="206" t="str">
        <f t="shared" si="14"/>
        <v/>
      </c>
      <c r="AJ45" s="278" t="str">
        <f t="shared" si="15"/>
        <v/>
      </c>
      <c r="AK45" s="302" t="str">
        <f t="shared" si="16"/>
        <v/>
      </c>
      <c r="AL45" s="278" t="str">
        <f t="shared" si="17"/>
        <v/>
      </c>
      <c r="AN45" s="303" t="str">
        <f>IF($E$8=53,(C45/1000),"")</f>
        <v/>
      </c>
      <c r="AO45" s="206" t="str">
        <f t="shared" si="18"/>
        <v/>
      </c>
      <c r="AP45" s="278" t="str">
        <f t="shared" si="19"/>
        <v/>
      </c>
      <c r="AQ45" s="302" t="str">
        <f t="shared" si="20"/>
        <v/>
      </c>
      <c r="AR45" s="278" t="str">
        <f t="shared" si="21"/>
        <v/>
      </c>
      <c r="AT45" s="203" t="str">
        <f>IF($E$9=53,(C45/1000),"")</f>
        <v/>
      </c>
      <c r="AU45" s="268" t="str">
        <f t="shared" si="22"/>
        <v/>
      </c>
      <c r="AV45" s="275" t="str">
        <f t="shared" si="23"/>
        <v/>
      </c>
      <c r="AW45" s="292" t="str">
        <f t="shared" si="24"/>
        <v/>
      </c>
      <c r="AX45" s="290" t="str">
        <f t="shared" si="25"/>
        <v/>
      </c>
      <c r="AZ45" s="203" t="str">
        <f>IF($E$10=53,(C45/1000),"")</f>
        <v/>
      </c>
      <c r="BA45" s="268" t="str">
        <f t="shared" si="26"/>
        <v/>
      </c>
      <c r="BB45" s="275" t="str">
        <f t="shared" si="27"/>
        <v/>
      </c>
      <c r="BC45" s="292" t="str">
        <f t="shared" si="28"/>
        <v/>
      </c>
      <c r="BD45" s="290" t="str">
        <f t="shared" si="29"/>
        <v/>
      </c>
      <c r="BF45" s="296" t="str">
        <f>IF($E$11=53,(C45/1000),"")</f>
        <v/>
      </c>
      <c r="BG45" s="267" t="str">
        <f t="shared" si="30"/>
        <v/>
      </c>
      <c r="BH45" s="275" t="str">
        <f t="shared" si="31"/>
        <v/>
      </c>
      <c r="BI45" s="292" t="str">
        <f t="shared" si="32"/>
        <v/>
      </c>
      <c r="BJ45" s="55" t="str">
        <f t="shared" si="33"/>
        <v/>
      </c>
    </row>
    <row r="46" spans="1:62" ht="13.5" customHeight="1" thickBot="1" x14ac:dyDescent="0.3">
      <c r="A46" s="34" t="b">
        <f t="shared" si="6"/>
        <v>0</v>
      </c>
      <c r="B46" s="61">
        <f>COMPOSITTIONS!A33</f>
        <v>54</v>
      </c>
      <c r="C46" s="282">
        <f>COMPOSITTIONS!B33</f>
        <v>240</v>
      </c>
      <c r="D46" s="284" t="str">
        <f>COMPOSITTIONS!C33</f>
        <v>Pois fourrager de printemps</v>
      </c>
      <c r="E46" s="276">
        <f t="shared" si="3"/>
        <v>0.24</v>
      </c>
      <c r="F46" s="278" t="e">
        <f>(#REF!+O46+AE46+AJ46+AP46+AV46+BB46+BH46+X46)</f>
        <v>#REF!</v>
      </c>
      <c r="G46" s="271" t="e">
        <f t="shared" si="34"/>
        <v>#REF!</v>
      </c>
      <c r="H46" s="275" t="e">
        <f>(BI46+BC46+AW46+AQ46+AK46+AF46+P46)</f>
        <v>#VALUE!</v>
      </c>
      <c r="I46" s="271" t="e">
        <f t="shared" si="35"/>
        <v>#VALUE!</v>
      </c>
      <c r="J46" s="56"/>
      <c r="K46" s="56"/>
      <c r="L46" s="56"/>
      <c r="M46" s="144">
        <f t="shared" si="8"/>
        <v>0.24</v>
      </c>
      <c r="N46" s="58">
        <f>IF($F$3&lt;&gt;"",(HLOOKUP($F$3,COMPOSITTIONS!$D$2:$AA$66,32,FALSE)),#REF!)</f>
        <v>0</v>
      </c>
      <c r="O46" s="54">
        <f t="shared" si="9"/>
        <v>0</v>
      </c>
      <c r="P46" s="54">
        <f>(O46*1000)/M46</f>
        <v>0</v>
      </c>
      <c r="Q46" s="55" t="e">
        <f>IF(P46=#REF!,"0",(P46/$P$16))</f>
        <v>#REF!</v>
      </c>
      <c r="S46" s="173">
        <f>E46</f>
        <v>0.24</v>
      </c>
      <c r="T46" s="57" t="e">
        <f ca="1">IF(T46=#REF!,"0",$J$4/T46)</f>
        <v>#DIV/0!</v>
      </c>
      <c r="U46" s="57" t="e">
        <f t="shared" si="10"/>
        <v>#VALUE!</v>
      </c>
      <c r="V46" s="305" t="e">
        <f>IF($E$4&gt;10,HLOOKUP($E$4,COMPOSITTIONS!A:V,4,FALSE),#REF!)</f>
        <v>#N/A</v>
      </c>
      <c r="W46" s="278" t="e">
        <f>IF($F$4&lt;&gt;"",(HLOOKUP($F$4,COMPOSITTIONS!$D$2:$AA$66,32,FALSE)),#REF!)</f>
        <v>#REF!</v>
      </c>
      <c r="X46" s="278" t="e">
        <f t="shared" si="11"/>
        <v>#REF!</v>
      </c>
      <c r="Y46" s="57" t="e">
        <f t="shared" si="4"/>
        <v>#REF!</v>
      </c>
      <c r="Z46" s="55" t="e">
        <f>IF(Y46=#REF!,"0",(Y46/$Y$16))</f>
        <v>#REF!</v>
      </c>
      <c r="AB46" s="303" t="str">
        <f>IF($E$6=54,(C46/1000),"")</f>
        <v/>
      </c>
      <c r="AC46" s="282" t="str">
        <f t="shared" si="12"/>
        <v/>
      </c>
      <c r="AD46" s="278" t="str">
        <f t="shared" si="36"/>
        <v/>
      </c>
      <c r="AE46" s="302" t="str">
        <f t="shared" si="5"/>
        <v/>
      </c>
      <c r="AF46" s="278" t="str">
        <f t="shared" si="13"/>
        <v/>
      </c>
      <c r="AH46" s="303" t="str">
        <f>IF($E$7=54,(C46/1000),"")</f>
        <v/>
      </c>
      <c r="AI46" s="206" t="str">
        <f t="shared" si="14"/>
        <v/>
      </c>
      <c r="AJ46" s="278" t="str">
        <f t="shared" si="15"/>
        <v/>
      </c>
      <c r="AK46" s="302" t="str">
        <f t="shared" si="16"/>
        <v/>
      </c>
      <c r="AL46" s="278" t="str">
        <f t="shared" si="17"/>
        <v/>
      </c>
      <c r="AN46" s="303" t="str">
        <f>IF($E$8=54,(C46/1000),"")</f>
        <v/>
      </c>
      <c r="AO46" s="206" t="str">
        <f t="shared" si="18"/>
        <v/>
      </c>
      <c r="AP46" s="278" t="str">
        <f t="shared" si="19"/>
        <v/>
      </c>
      <c r="AQ46" s="302" t="str">
        <f t="shared" si="20"/>
        <v/>
      </c>
      <c r="AR46" s="278" t="str">
        <f t="shared" si="21"/>
        <v/>
      </c>
      <c r="AT46" s="203" t="str">
        <f>IF($E$9=54,(C46/1000),"")</f>
        <v/>
      </c>
      <c r="AU46" s="268" t="str">
        <f t="shared" si="22"/>
        <v/>
      </c>
      <c r="AV46" s="275" t="str">
        <f t="shared" si="23"/>
        <v/>
      </c>
      <c r="AW46" s="292" t="str">
        <f t="shared" si="24"/>
        <v/>
      </c>
      <c r="AX46" s="290" t="str">
        <f t="shared" si="25"/>
        <v/>
      </c>
      <c r="AZ46" s="203" t="str">
        <f>IF($E$10=54,(C46/1000),"")</f>
        <v/>
      </c>
      <c r="BA46" s="268" t="str">
        <f t="shared" si="26"/>
        <v/>
      </c>
      <c r="BB46" s="275" t="str">
        <f t="shared" si="27"/>
        <v/>
      </c>
      <c r="BC46" s="292" t="str">
        <f t="shared" si="28"/>
        <v/>
      </c>
      <c r="BD46" s="290" t="str">
        <f t="shared" si="29"/>
        <v/>
      </c>
      <c r="BF46" s="296" t="str">
        <f>IF($E$11=54,(C46/1000),"")</f>
        <v/>
      </c>
      <c r="BG46" s="267" t="str">
        <f t="shared" si="30"/>
        <v/>
      </c>
      <c r="BH46" s="275" t="str">
        <f t="shared" si="31"/>
        <v/>
      </c>
      <c r="BI46" s="292" t="str">
        <f t="shared" si="32"/>
        <v/>
      </c>
      <c r="BJ46" s="55" t="str">
        <f t="shared" si="33"/>
        <v/>
      </c>
    </row>
    <row r="47" spans="1:62" ht="13.5" customHeight="1" thickBot="1" x14ac:dyDescent="0.3">
      <c r="A47" s="34" t="b">
        <f t="shared" si="6"/>
        <v>0</v>
      </c>
      <c r="B47" s="61">
        <f>COMPOSITTIONS!A34</f>
        <v>55</v>
      </c>
      <c r="C47" s="282">
        <f>COMPOSITTIONS!B34</f>
        <v>180</v>
      </c>
      <c r="D47" s="284" t="str">
        <f>COMPOSITTIONS!C34</f>
        <v>Pois fourrager d'hiver</v>
      </c>
      <c r="E47" s="276">
        <f t="shared" si="3"/>
        <v>0.18</v>
      </c>
      <c r="F47" s="278" t="e">
        <f>(#REF!+O47+AE47+AJ47+AP47+AV47+BB47+BH47+X47)</f>
        <v>#REF!</v>
      </c>
      <c r="G47" s="271" t="e">
        <f t="shared" si="34"/>
        <v>#REF!</v>
      </c>
      <c r="H47" s="275" t="e">
        <f>(BI47+BC47+AW47+AQ47+AK47+AF47+P47)</f>
        <v>#VALUE!</v>
      </c>
      <c r="I47" s="271" t="e">
        <f t="shared" si="35"/>
        <v>#VALUE!</v>
      </c>
      <c r="J47" s="56"/>
      <c r="K47" s="56"/>
      <c r="L47" s="56"/>
      <c r="M47" s="144">
        <f t="shared" si="8"/>
        <v>0.18</v>
      </c>
      <c r="N47" s="58">
        <f>IF($F$3&lt;&gt;"",(HLOOKUP($F$3,COMPOSITTIONS!$D$2:$AA$66,33,FALSE)),#REF!)</f>
        <v>0</v>
      </c>
      <c r="O47" s="54">
        <f t="shared" si="9"/>
        <v>0</v>
      </c>
      <c r="P47" s="54">
        <f>(O47*1000)/M47</f>
        <v>0</v>
      </c>
      <c r="Q47" s="55" t="e">
        <f>IF(P47=#REF!,"0",(P47/$P$16))</f>
        <v>#REF!</v>
      </c>
      <c r="S47" s="173">
        <f>E47</f>
        <v>0.18</v>
      </c>
      <c r="T47" s="57" t="e">
        <f ca="1">IF(T47=#REF!,"0",$J$4/T47)</f>
        <v>#DIV/0!</v>
      </c>
      <c r="U47" s="57" t="e">
        <f t="shared" si="10"/>
        <v>#VALUE!</v>
      </c>
      <c r="V47" s="305" t="e">
        <f>IF($E$4&gt;10,HLOOKUP($E$4,COMPOSITTIONS!A:V,4,FALSE),#REF!)</f>
        <v>#N/A</v>
      </c>
      <c r="W47" s="278" t="e">
        <f>IF($F$4&lt;&gt;"",(HLOOKUP($F$4,COMPOSITTIONS!$D$2:$AA$66,33,FALSE)),#REF!)</f>
        <v>#REF!</v>
      </c>
      <c r="X47" s="278" t="e">
        <f t="shared" si="11"/>
        <v>#REF!</v>
      </c>
      <c r="Y47" s="57" t="e">
        <f t="shared" si="4"/>
        <v>#REF!</v>
      </c>
      <c r="Z47" s="55" t="e">
        <f>IF(Y47=#REF!,"0",(Y47/$Y$16))</f>
        <v>#REF!</v>
      </c>
      <c r="AB47" s="303" t="str">
        <f>IF($E$6=55,(C47/1000),"")</f>
        <v/>
      </c>
      <c r="AC47" s="282" t="str">
        <f t="shared" si="12"/>
        <v/>
      </c>
      <c r="AD47" s="278" t="str">
        <f t="shared" si="36"/>
        <v/>
      </c>
      <c r="AE47" s="302" t="str">
        <f t="shared" si="5"/>
        <v/>
      </c>
      <c r="AF47" s="278" t="str">
        <f t="shared" si="13"/>
        <v/>
      </c>
      <c r="AH47" s="303" t="str">
        <f>IF($E$7=55,(C47/1000),"")</f>
        <v/>
      </c>
      <c r="AI47" s="206" t="str">
        <f t="shared" si="14"/>
        <v/>
      </c>
      <c r="AJ47" s="278" t="str">
        <f t="shared" si="15"/>
        <v/>
      </c>
      <c r="AK47" s="302" t="str">
        <f t="shared" si="16"/>
        <v/>
      </c>
      <c r="AL47" s="278" t="str">
        <f t="shared" si="17"/>
        <v/>
      </c>
      <c r="AN47" s="303" t="str">
        <f>IF($E$8=55,(C47/1000),"")</f>
        <v/>
      </c>
      <c r="AO47" s="206" t="str">
        <f t="shared" si="18"/>
        <v/>
      </c>
      <c r="AP47" s="278" t="str">
        <f t="shared" si="19"/>
        <v/>
      </c>
      <c r="AQ47" s="302" t="str">
        <f t="shared" si="20"/>
        <v/>
      </c>
      <c r="AR47" s="278" t="str">
        <f t="shared" si="21"/>
        <v/>
      </c>
      <c r="AT47" s="203" t="str">
        <f>IF($E$9=55,(C47/1000),"")</f>
        <v/>
      </c>
      <c r="AU47" s="268" t="str">
        <f t="shared" si="22"/>
        <v/>
      </c>
      <c r="AV47" s="275" t="str">
        <f t="shared" si="23"/>
        <v/>
      </c>
      <c r="AW47" s="292" t="str">
        <f t="shared" si="24"/>
        <v/>
      </c>
      <c r="AX47" s="290" t="str">
        <f t="shared" si="25"/>
        <v/>
      </c>
      <c r="AZ47" s="203" t="str">
        <f>IF($E$10=55,(C47/1000),"")</f>
        <v/>
      </c>
      <c r="BA47" s="268" t="str">
        <f t="shared" si="26"/>
        <v/>
      </c>
      <c r="BB47" s="275" t="str">
        <f t="shared" si="27"/>
        <v/>
      </c>
      <c r="BC47" s="292" t="str">
        <f t="shared" si="28"/>
        <v/>
      </c>
      <c r="BD47" s="290" t="str">
        <f t="shared" si="29"/>
        <v/>
      </c>
      <c r="BF47" s="296" t="str">
        <f>IF($E$11=55,(C47/1000),"")</f>
        <v/>
      </c>
      <c r="BG47" s="267" t="str">
        <f t="shared" si="30"/>
        <v/>
      </c>
      <c r="BH47" s="275" t="str">
        <f t="shared" si="31"/>
        <v/>
      </c>
      <c r="BI47" s="292" t="str">
        <f t="shared" si="32"/>
        <v/>
      </c>
      <c r="BJ47" s="55" t="str">
        <f t="shared" si="33"/>
        <v/>
      </c>
    </row>
    <row r="48" spans="1:62" ht="13.5" customHeight="1" thickBot="1" x14ac:dyDescent="0.3">
      <c r="A48" s="34" t="b">
        <f t="shared" si="6"/>
        <v>0</v>
      </c>
      <c r="B48" s="61">
        <f>COMPOSITTIONS!A35</f>
        <v>56</v>
      </c>
      <c r="C48" s="282">
        <f>COMPOSITTIONS!B35</f>
        <v>8</v>
      </c>
      <c r="D48" s="284" t="str">
        <f>COMPOSITTIONS!C35</f>
        <v>Radis chinois</v>
      </c>
      <c r="E48" s="276">
        <f t="shared" si="3"/>
        <v>8.0000000000000002E-3</v>
      </c>
      <c r="F48" s="278" t="e">
        <f>(#REF!+O48+AE48+AJ48+AP48+AV48+BB48+BH48+X48)</f>
        <v>#REF!</v>
      </c>
      <c r="G48" s="271" t="e">
        <f t="shared" si="34"/>
        <v>#REF!</v>
      </c>
      <c r="H48" s="275" t="e">
        <f>(BI48+BC48+AW48+AQ48+AK48+AF48+P48)</f>
        <v>#VALUE!</v>
      </c>
      <c r="I48" s="271" t="e">
        <f t="shared" si="35"/>
        <v>#VALUE!</v>
      </c>
      <c r="J48" s="56"/>
      <c r="K48" s="56"/>
      <c r="L48" s="56"/>
      <c r="M48" s="144">
        <f t="shared" si="8"/>
        <v>8.0000000000000002E-3</v>
      </c>
      <c r="N48" s="58">
        <f>IF($F$3&lt;&gt;"",(HLOOKUP($F$3,COMPOSITTIONS!$D$2:$AA$66,34,FALSE)),#REF!)</f>
        <v>0</v>
      </c>
      <c r="O48" s="54">
        <f t="shared" si="9"/>
        <v>0</v>
      </c>
      <c r="P48" s="54">
        <f>(O48*1000)/M48</f>
        <v>0</v>
      </c>
      <c r="Q48" s="55" t="e">
        <f>IF(P48=#REF!,"0",(P48/$P$16))</f>
        <v>#REF!</v>
      </c>
      <c r="S48" s="173">
        <f>E48</f>
        <v>8.0000000000000002E-3</v>
      </c>
      <c r="T48" s="57" t="e">
        <f ca="1">IF(T48=#REF!,"0",$J$4/T48)</f>
        <v>#DIV/0!</v>
      </c>
      <c r="U48" s="57" t="e">
        <f t="shared" si="10"/>
        <v>#VALUE!</v>
      </c>
      <c r="V48" s="305" t="e">
        <f>IF($E$4&gt;10,HLOOKUP($E$4,COMPOSITTIONS!A:V,4,FALSE),#REF!)</f>
        <v>#N/A</v>
      </c>
      <c r="W48" s="278" t="e">
        <f>IF($F$4&lt;&gt;"",(HLOOKUP($F$4,COMPOSITTIONS!$D$2:$AA$66,34,FALSE)),#REF!)</f>
        <v>#REF!</v>
      </c>
      <c r="X48" s="278" t="e">
        <f t="shared" si="11"/>
        <v>#REF!</v>
      </c>
      <c r="Y48" s="57" t="e">
        <f t="shared" si="4"/>
        <v>#REF!</v>
      </c>
      <c r="Z48" s="55" t="e">
        <f>IF(Y48=#REF!,"0",(Y48/$Y$16))</f>
        <v>#REF!</v>
      </c>
      <c r="AB48" s="303" t="str">
        <f>IF($E$6=56,(C48/1000),"")</f>
        <v/>
      </c>
      <c r="AC48" s="282" t="str">
        <f t="shared" si="12"/>
        <v/>
      </c>
      <c r="AD48" s="278" t="str">
        <f t="shared" si="36"/>
        <v/>
      </c>
      <c r="AE48" s="302" t="str">
        <f t="shared" si="5"/>
        <v/>
      </c>
      <c r="AF48" s="278" t="str">
        <f t="shared" si="13"/>
        <v/>
      </c>
      <c r="AH48" s="303" t="str">
        <f>IF($E$7=56,(C48/1000),"")</f>
        <v/>
      </c>
      <c r="AI48" s="206" t="str">
        <f t="shared" si="14"/>
        <v/>
      </c>
      <c r="AJ48" s="278" t="str">
        <f t="shared" si="15"/>
        <v/>
      </c>
      <c r="AK48" s="302" t="str">
        <f t="shared" si="16"/>
        <v/>
      </c>
      <c r="AL48" s="278" t="str">
        <f t="shared" si="17"/>
        <v/>
      </c>
      <c r="AN48" s="303" t="str">
        <f>IF($E$8=56,(C48/1000),"")</f>
        <v/>
      </c>
      <c r="AO48" s="206" t="str">
        <f t="shared" si="18"/>
        <v/>
      </c>
      <c r="AP48" s="278" t="str">
        <f t="shared" si="19"/>
        <v/>
      </c>
      <c r="AQ48" s="302" t="str">
        <f t="shared" si="20"/>
        <v/>
      </c>
      <c r="AR48" s="278" t="str">
        <f t="shared" si="21"/>
        <v/>
      </c>
      <c r="AT48" s="203" t="str">
        <f>IF($E$9=56,(C48/1000),"")</f>
        <v/>
      </c>
      <c r="AU48" s="268" t="str">
        <f t="shared" si="22"/>
        <v/>
      </c>
      <c r="AV48" s="275" t="str">
        <f t="shared" si="23"/>
        <v/>
      </c>
      <c r="AW48" s="292" t="str">
        <f t="shared" si="24"/>
        <v/>
      </c>
      <c r="AX48" s="290" t="str">
        <f t="shared" si="25"/>
        <v/>
      </c>
      <c r="AZ48" s="203" t="str">
        <f>IF($E$10=56,(C48/1000),"")</f>
        <v/>
      </c>
      <c r="BA48" s="268" t="str">
        <f t="shared" si="26"/>
        <v/>
      </c>
      <c r="BB48" s="275" t="str">
        <f t="shared" si="27"/>
        <v/>
      </c>
      <c r="BC48" s="292" t="str">
        <f t="shared" si="28"/>
        <v/>
      </c>
      <c r="BD48" s="290" t="str">
        <f t="shared" si="29"/>
        <v/>
      </c>
      <c r="BF48" s="296" t="str">
        <f>IF($E$11=56,(C48/1000),"")</f>
        <v/>
      </c>
      <c r="BG48" s="267" t="str">
        <f t="shared" si="30"/>
        <v/>
      </c>
      <c r="BH48" s="275" t="str">
        <f t="shared" si="31"/>
        <v/>
      </c>
      <c r="BI48" s="292" t="str">
        <f t="shared" si="32"/>
        <v/>
      </c>
      <c r="BJ48" s="55" t="str">
        <f t="shared" si="33"/>
        <v/>
      </c>
    </row>
    <row r="49" spans="1:62" ht="13.5" customHeight="1" thickBot="1" x14ac:dyDescent="0.3">
      <c r="A49" s="34" t="b">
        <f t="shared" si="6"/>
        <v>0</v>
      </c>
      <c r="B49" s="61">
        <f>COMPOSITTIONS!A36</f>
        <v>57</v>
      </c>
      <c r="C49" s="282">
        <f>COMPOSITTIONS!B36</f>
        <v>9</v>
      </c>
      <c r="D49" s="284" t="str">
        <f>COMPOSITTIONS!C36</f>
        <v>Radis fourrager</v>
      </c>
      <c r="E49" s="276">
        <f t="shared" si="3"/>
        <v>8.9999999999999993E-3</v>
      </c>
      <c r="F49" s="278" t="e">
        <f>(#REF!+O49+AE49+AJ49+AP49+AV49+BB49+BH49+X49)</f>
        <v>#REF!</v>
      </c>
      <c r="G49" s="271" t="e">
        <f t="shared" si="34"/>
        <v>#REF!</v>
      </c>
      <c r="H49" s="275" t="e">
        <f>(BI49+BC49+AW49+AQ49+AK49+AF49+P49)</f>
        <v>#VALUE!</v>
      </c>
      <c r="I49" s="271" t="e">
        <f t="shared" si="35"/>
        <v>#VALUE!</v>
      </c>
      <c r="J49" s="56"/>
      <c r="K49" s="56"/>
      <c r="L49" s="56"/>
      <c r="M49" s="144">
        <f t="shared" si="8"/>
        <v>8.9999999999999993E-3</v>
      </c>
      <c r="N49" s="58">
        <f>IF($F$3&lt;&gt;"",(HLOOKUP($F$3,COMPOSITTIONS!$D$2:$AA$66,35,FALSE)),#REF!)</f>
        <v>0</v>
      </c>
      <c r="O49" s="54">
        <f t="shared" si="9"/>
        <v>0</v>
      </c>
      <c r="P49" s="54">
        <f>(O49*1000)/M49</f>
        <v>0</v>
      </c>
      <c r="Q49" s="55" t="e">
        <f>IF(P49=#REF!,"0",(P49/$P$16))</f>
        <v>#REF!</v>
      </c>
      <c r="S49" s="173">
        <f>E49</f>
        <v>8.9999999999999993E-3</v>
      </c>
      <c r="T49" s="57" t="e">
        <f ca="1">IF(T49=#REF!,"0",$J$4/T49)</f>
        <v>#DIV/0!</v>
      </c>
      <c r="U49" s="57" t="e">
        <f t="shared" si="10"/>
        <v>#VALUE!</v>
      </c>
      <c r="V49" s="305" t="e">
        <f>IF($E$4&gt;10,HLOOKUP($E$4,COMPOSITTIONS!A:V,4,FALSE),#REF!)</f>
        <v>#N/A</v>
      </c>
      <c r="W49" s="278" t="e">
        <f>IF($F$4&lt;&gt;"",(HLOOKUP($F$4,COMPOSITTIONS!$D$2:$AA$66,35,FALSE)),#REF!)</f>
        <v>#REF!</v>
      </c>
      <c r="X49" s="278" t="e">
        <f t="shared" si="11"/>
        <v>#REF!</v>
      </c>
      <c r="Y49" s="57" t="e">
        <f t="shared" si="4"/>
        <v>#REF!</v>
      </c>
      <c r="Z49" s="55" t="e">
        <f>IF(Y49=#REF!,"0",(Y49/$Y$16))</f>
        <v>#REF!</v>
      </c>
      <c r="AB49" s="303" t="str">
        <f>IF($E$6=57,(C49/1000),"")</f>
        <v/>
      </c>
      <c r="AC49" s="282" t="str">
        <f t="shared" si="12"/>
        <v/>
      </c>
      <c r="AD49" s="278" t="str">
        <f t="shared" si="36"/>
        <v/>
      </c>
      <c r="AE49" s="302" t="str">
        <f t="shared" si="5"/>
        <v/>
      </c>
      <c r="AF49" s="278" t="str">
        <f t="shared" si="13"/>
        <v/>
      </c>
      <c r="AH49" s="303" t="str">
        <f>IF($E$7=57,(C49/1000),"")</f>
        <v/>
      </c>
      <c r="AI49" s="206" t="str">
        <f t="shared" si="14"/>
        <v/>
      </c>
      <c r="AJ49" s="278" t="str">
        <f t="shared" si="15"/>
        <v/>
      </c>
      <c r="AK49" s="302" t="str">
        <f t="shared" si="16"/>
        <v/>
      </c>
      <c r="AL49" s="278" t="str">
        <f t="shared" si="17"/>
        <v/>
      </c>
      <c r="AN49" s="303" t="str">
        <f>IF($E$8=57,(C49/1000),"")</f>
        <v/>
      </c>
      <c r="AO49" s="206" t="str">
        <f t="shared" si="18"/>
        <v/>
      </c>
      <c r="AP49" s="278" t="str">
        <f t="shared" si="19"/>
        <v/>
      </c>
      <c r="AQ49" s="302" t="str">
        <f t="shared" si="20"/>
        <v/>
      </c>
      <c r="AR49" s="278" t="str">
        <f t="shared" si="21"/>
        <v/>
      </c>
      <c r="AT49" s="203" t="str">
        <f>IF($E$9=57,(C49/1000),"")</f>
        <v/>
      </c>
      <c r="AU49" s="268" t="str">
        <f t="shared" si="22"/>
        <v/>
      </c>
      <c r="AV49" s="275" t="str">
        <f t="shared" si="23"/>
        <v/>
      </c>
      <c r="AW49" s="292" t="str">
        <f t="shared" si="24"/>
        <v/>
      </c>
      <c r="AX49" s="290" t="str">
        <f t="shared" si="25"/>
        <v/>
      </c>
      <c r="AZ49" s="203" t="str">
        <f>IF($E$10=57,(C49/1000),"")</f>
        <v/>
      </c>
      <c r="BA49" s="268" t="str">
        <f t="shared" si="26"/>
        <v/>
      </c>
      <c r="BB49" s="275" t="str">
        <f t="shared" si="27"/>
        <v/>
      </c>
      <c r="BC49" s="292" t="str">
        <f t="shared" si="28"/>
        <v/>
      </c>
      <c r="BD49" s="290" t="str">
        <f t="shared" si="29"/>
        <v/>
      </c>
      <c r="BF49" s="296" t="str">
        <f>IF($E$11=57,(C49/1000),"")</f>
        <v/>
      </c>
      <c r="BG49" s="267" t="str">
        <f t="shared" si="30"/>
        <v/>
      </c>
      <c r="BH49" s="275" t="str">
        <f t="shared" si="31"/>
        <v/>
      </c>
      <c r="BI49" s="292" t="str">
        <f t="shared" si="32"/>
        <v/>
      </c>
      <c r="BJ49" s="55" t="str">
        <f t="shared" si="33"/>
        <v/>
      </c>
    </row>
    <row r="50" spans="1:62" ht="13.5" customHeight="1" thickBot="1" x14ac:dyDescent="0.3">
      <c r="A50" s="34" t="b">
        <f t="shared" si="6"/>
        <v>0</v>
      </c>
      <c r="B50" s="61">
        <f>COMPOSITTIONS!A37</f>
        <v>58</v>
      </c>
      <c r="C50" s="282">
        <f>COMPOSITTIONS!B37</f>
        <v>1.9</v>
      </c>
      <c r="D50" s="284" t="str">
        <f>COMPOSITTIONS!C37</f>
        <v>RGA 2n</v>
      </c>
      <c r="E50" s="276">
        <f t="shared" si="3"/>
        <v>1.9E-3</v>
      </c>
      <c r="F50" s="278" t="e">
        <f>(#REF!+O50+AE50+AJ50+AP50+AV50+BB50+BH50+X50)</f>
        <v>#REF!</v>
      </c>
      <c r="G50" s="271" t="e">
        <f t="shared" si="34"/>
        <v>#REF!</v>
      </c>
      <c r="H50" s="275" t="e">
        <f>(BI50+BC50+AW50+AQ50+AK50+AF50+P50)</f>
        <v>#VALUE!</v>
      </c>
      <c r="I50" s="271" t="e">
        <f t="shared" si="35"/>
        <v>#VALUE!</v>
      </c>
      <c r="J50" s="56"/>
      <c r="K50" s="56"/>
      <c r="L50" s="56"/>
      <c r="M50" s="144">
        <f t="shared" si="8"/>
        <v>1.9E-3</v>
      </c>
      <c r="N50" s="58">
        <f>IF($F$3&lt;&gt;"",(HLOOKUP($F$3,COMPOSITTIONS!$D$2:$AA$66,36,FALSE)),#REF!)</f>
        <v>25</v>
      </c>
      <c r="O50" s="54">
        <f t="shared" si="9"/>
        <v>1.25</v>
      </c>
      <c r="P50" s="54">
        <f>(O50*1000)/M50</f>
        <v>657894.73684210528</v>
      </c>
      <c r="Q50" s="55" t="e">
        <f>IF(P50=#REF!,"0",(P50/$P$16))</f>
        <v>#REF!</v>
      </c>
      <c r="S50" s="173">
        <f>E50</f>
        <v>1.9E-3</v>
      </c>
      <c r="T50" s="57" t="e">
        <f ca="1">IF(T50=#REF!,"0",$J$4/T50)</f>
        <v>#DIV/0!</v>
      </c>
      <c r="U50" s="57" t="e">
        <f t="shared" si="10"/>
        <v>#VALUE!</v>
      </c>
      <c r="V50" s="305" t="e">
        <f>IF($E$4&gt;10,HLOOKUP($E$4,COMPOSITTIONS!A:V,4,FALSE),#REF!)</f>
        <v>#N/A</v>
      </c>
      <c r="W50" s="278" t="e">
        <f>IF($F$4&lt;&gt;"",(HLOOKUP($F$4,COMPOSITTIONS!$D$2:$AA$66,36,FALSE)),#REF!)</f>
        <v>#REF!</v>
      </c>
      <c r="X50" s="278" t="e">
        <f t="shared" si="11"/>
        <v>#REF!</v>
      </c>
      <c r="Y50" s="57" t="e">
        <f t="shared" si="4"/>
        <v>#REF!</v>
      </c>
      <c r="Z50" s="55" t="e">
        <f>IF(Y50=#REF!,"0",(Y50/$Y$16))</f>
        <v>#REF!</v>
      </c>
      <c r="AB50" s="303" t="str">
        <f>IF($E$6=58,(C50/1000),"")</f>
        <v/>
      </c>
      <c r="AC50" s="282" t="str">
        <f t="shared" si="12"/>
        <v/>
      </c>
      <c r="AD50" s="278" t="str">
        <f t="shared" si="36"/>
        <v/>
      </c>
      <c r="AE50" s="302" t="str">
        <f t="shared" si="5"/>
        <v/>
      </c>
      <c r="AF50" s="278" t="str">
        <f t="shared" si="13"/>
        <v/>
      </c>
      <c r="AH50" s="303" t="str">
        <f>IF($E$7=58,(C50/1000),"")</f>
        <v/>
      </c>
      <c r="AI50" s="206" t="str">
        <f t="shared" si="14"/>
        <v/>
      </c>
      <c r="AJ50" s="278" t="str">
        <f t="shared" si="15"/>
        <v/>
      </c>
      <c r="AK50" s="302" t="str">
        <f t="shared" si="16"/>
        <v/>
      </c>
      <c r="AL50" s="278" t="str">
        <f t="shared" si="17"/>
        <v/>
      </c>
      <c r="AN50" s="303" t="str">
        <f>IF($E$8=58,(C50/1000),"")</f>
        <v/>
      </c>
      <c r="AO50" s="206" t="str">
        <f t="shared" si="18"/>
        <v/>
      </c>
      <c r="AP50" s="278" t="str">
        <f t="shared" si="19"/>
        <v/>
      </c>
      <c r="AQ50" s="302" t="str">
        <f t="shared" si="20"/>
        <v/>
      </c>
      <c r="AR50" s="278" t="str">
        <f t="shared" si="21"/>
        <v/>
      </c>
      <c r="AT50" s="203" t="str">
        <f>IF($E$9=58,(C50/1000),"")</f>
        <v/>
      </c>
      <c r="AU50" s="268" t="str">
        <f t="shared" si="22"/>
        <v/>
      </c>
      <c r="AV50" s="275" t="str">
        <f t="shared" si="23"/>
        <v/>
      </c>
      <c r="AW50" s="292" t="str">
        <f t="shared" si="24"/>
        <v/>
      </c>
      <c r="AX50" s="290" t="str">
        <f t="shared" si="25"/>
        <v/>
      </c>
      <c r="AZ50" s="203" t="str">
        <f>IF($E$10=58,(C50/1000),"")</f>
        <v/>
      </c>
      <c r="BA50" s="268" t="str">
        <f t="shared" si="26"/>
        <v/>
      </c>
      <c r="BB50" s="275" t="str">
        <f t="shared" si="27"/>
        <v/>
      </c>
      <c r="BC50" s="292" t="str">
        <f t="shared" si="28"/>
        <v/>
      </c>
      <c r="BD50" s="290" t="str">
        <f t="shared" si="29"/>
        <v/>
      </c>
      <c r="BF50" s="296" t="str">
        <f>IF($E$11=58,(C50/1000),"")</f>
        <v/>
      </c>
      <c r="BG50" s="267" t="str">
        <f t="shared" si="30"/>
        <v/>
      </c>
      <c r="BH50" s="275" t="str">
        <f t="shared" si="31"/>
        <v/>
      </c>
      <c r="BI50" s="292" t="str">
        <f t="shared" si="32"/>
        <v/>
      </c>
      <c r="BJ50" s="55" t="str">
        <f t="shared" si="33"/>
        <v/>
      </c>
    </row>
    <row r="51" spans="1:62" ht="13.5" customHeight="1" thickBot="1" x14ac:dyDescent="0.3">
      <c r="A51" s="34" t="b">
        <f t="shared" si="6"/>
        <v>0</v>
      </c>
      <c r="B51" s="61">
        <f>COMPOSITTIONS!A38</f>
        <v>59</v>
      </c>
      <c r="C51" s="282">
        <f>COMPOSITTIONS!B38</f>
        <v>3.12</v>
      </c>
      <c r="D51" s="284" t="str">
        <f>COMPOSITTIONS!C38</f>
        <v>RGA 4n</v>
      </c>
      <c r="E51" s="276">
        <f t="shared" si="3"/>
        <v>3.1199999999999999E-3</v>
      </c>
      <c r="F51" s="278" t="e">
        <f>(#REF!+O51+AE51+AJ51+AP51+AV51+BB51+BH51+X51)</f>
        <v>#REF!</v>
      </c>
      <c r="G51" s="271" t="e">
        <f t="shared" si="34"/>
        <v>#REF!</v>
      </c>
      <c r="H51" s="275" t="e">
        <f>(BI51+BC51+AW51+AQ51+AK51+AF51+P51)</f>
        <v>#VALUE!</v>
      </c>
      <c r="I51" s="271" t="e">
        <f t="shared" si="35"/>
        <v>#VALUE!</v>
      </c>
      <c r="J51" s="56"/>
      <c r="K51" s="56"/>
      <c r="L51" s="56"/>
      <c r="M51" s="144">
        <f t="shared" si="8"/>
        <v>3.1199999999999999E-3</v>
      </c>
      <c r="N51" s="58">
        <f>IF($F$3&lt;&gt;"",(HLOOKUP($F$3,COMPOSITTIONS!$D$2:$AA$66,37,FALSE)),#REF!)</f>
        <v>15</v>
      </c>
      <c r="O51" s="54">
        <f t="shared" si="9"/>
        <v>0.75</v>
      </c>
      <c r="P51" s="54">
        <f>(O51*1000)/M51</f>
        <v>240384.61538461538</v>
      </c>
      <c r="Q51" s="55" t="e">
        <f>IF(P51=#REF!,"0",(P51/$P$16))</f>
        <v>#REF!</v>
      </c>
      <c r="S51" s="173">
        <f>E51</f>
        <v>3.1199999999999999E-3</v>
      </c>
      <c r="T51" s="57" t="e">
        <f ca="1">IF(T51=#REF!,"0",$J$4/T51)</f>
        <v>#DIV/0!</v>
      </c>
      <c r="U51" s="57" t="e">
        <f t="shared" si="10"/>
        <v>#VALUE!</v>
      </c>
      <c r="V51" s="305" t="e">
        <f>IF($E$4&gt;10,HLOOKUP($E$4,COMPOSITTIONS!A:V,4,FALSE),#REF!)</f>
        <v>#N/A</v>
      </c>
      <c r="W51" s="278" t="e">
        <f>IF($F$4&lt;&gt;"",(HLOOKUP($F$4,COMPOSITTIONS!$D$2:$AA$66,37,FALSE)),#REF!)</f>
        <v>#REF!</v>
      </c>
      <c r="X51" s="278" t="e">
        <f t="shared" si="11"/>
        <v>#REF!</v>
      </c>
      <c r="Y51" s="57" t="e">
        <f t="shared" si="4"/>
        <v>#REF!</v>
      </c>
      <c r="Z51" s="55" t="e">
        <f>IF(Y51=#REF!,"0",(Y51/$Y$16))</f>
        <v>#REF!</v>
      </c>
      <c r="AB51" s="303" t="str">
        <f>IF($E$6=59,(C51/1000),"")</f>
        <v/>
      </c>
      <c r="AC51" s="282" t="str">
        <f t="shared" si="12"/>
        <v/>
      </c>
      <c r="AD51" s="278" t="str">
        <f t="shared" si="36"/>
        <v/>
      </c>
      <c r="AE51" s="302" t="str">
        <f t="shared" si="5"/>
        <v/>
      </c>
      <c r="AF51" s="278" t="str">
        <f t="shared" si="13"/>
        <v/>
      </c>
      <c r="AH51" s="303" t="str">
        <f>IF($E$7=59,(C51/1000),"")</f>
        <v/>
      </c>
      <c r="AI51" s="206" t="str">
        <f t="shared" si="14"/>
        <v/>
      </c>
      <c r="AJ51" s="278" t="str">
        <f t="shared" si="15"/>
        <v/>
      </c>
      <c r="AK51" s="302" t="str">
        <f t="shared" si="16"/>
        <v/>
      </c>
      <c r="AL51" s="278" t="str">
        <f t="shared" si="17"/>
        <v/>
      </c>
      <c r="AN51" s="303" t="str">
        <f>IF($E$8=59,(C51/1000),"")</f>
        <v/>
      </c>
      <c r="AO51" s="206" t="str">
        <f t="shared" si="18"/>
        <v/>
      </c>
      <c r="AP51" s="278" t="str">
        <f t="shared" si="19"/>
        <v/>
      </c>
      <c r="AQ51" s="302" t="str">
        <f t="shared" si="20"/>
        <v/>
      </c>
      <c r="AR51" s="278" t="str">
        <f t="shared" si="21"/>
        <v/>
      </c>
      <c r="AT51" s="203" t="str">
        <f>IF($E$9=59,(C51/1000),"")</f>
        <v/>
      </c>
      <c r="AU51" s="268" t="str">
        <f t="shared" si="22"/>
        <v/>
      </c>
      <c r="AV51" s="275" t="str">
        <f t="shared" si="23"/>
        <v/>
      </c>
      <c r="AW51" s="292" t="str">
        <f t="shared" si="24"/>
        <v/>
      </c>
      <c r="AX51" s="290" t="str">
        <f t="shared" si="25"/>
        <v/>
      </c>
      <c r="AZ51" s="203" t="str">
        <f>IF($E$10=59,(C51/1000),"")</f>
        <v/>
      </c>
      <c r="BA51" s="268" t="str">
        <f t="shared" si="26"/>
        <v/>
      </c>
      <c r="BB51" s="275" t="str">
        <f t="shared" si="27"/>
        <v/>
      </c>
      <c r="BC51" s="292" t="str">
        <f t="shared" si="28"/>
        <v/>
      </c>
      <c r="BD51" s="290" t="str">
        <f t="shared" si="29"/>
        <v/>
      </c>
      <c r="BF51" s="296" t="str">
        <f>IF($E$11=59,(C51/1000),"")</f>
        <v/>
      </c>
      <c r="BG51" s="267" t="str">
        <f t="shared" si="30"/>
        <v/>
      </c>
      <c r="BH51" s="275" t="str">
        <f t="shared" si="31"/>
        <v/>
      </c>
      <c r="BI51" s="292" t="str">
        <f t="shared" si="32"/>
        <v/>
      </c>
      <c r="BJ51" s="55" t="str">
        <f t="shared" si="33"/>
        <v/>
      </c>
    </row>
    <row r="52" spans="1:62" ht="13.5" customHeight="1" thickBot="1" x14ac:dyDescent="0.3">
      <c r="A52" s="34" t="b">
        <f t="shared" si="6"/>
        <v>0</v>
      </c>
      <c r="B52" s="61">
        <f>COMPOSITTIONS!A39</f>
        <v>60</v>
      </c>
      <c r="C52" s="282">
        <f>COMPOSITTIONS!B39</f>
        <v>2.15</v>
      </c>
      <c r="D52" s="284" t="str">
        <f>COMPOSITTIONS!C39</f>
        <v>RGH 2n</v>
      </c>
      <c r="E52" s="276">
        <f t="shared" si="3"/>
        <v>2.15E-3</v>
      </c>
      <c r="F52" s="278" t="e">
        <f>(#REF!+O52+AE52+AJ52+AP52+AV52+BB52+BH52+X52)</f>
        <v>#REF!</v>
      </c>
      <c r="G52" s="271" t="e">
        <f t="shared" si="34"/>
        <v>#REF!</v>
      </c>
      <c r="H52" s="275" t="e">
        <f>(BI52+BC52+AW52+AQ52+AK52+AF52+P52)</f>
        <v>#VALUE!</v>
      </c>
      <c r="I52" s="271" t="e">
        <f t="shared" si="35"/>
        <v>#VALUE!</v>
      </c>
      <c r="J52" s="56"/>
      <c r="K52" s="56"/>
      <c r="L52" s="56"/>
      <c r="M52" s="144">
        <f t="shared" si="8"/>
        <v>2.15E-3</v>
      </c>
      <c r="N52" s="58">
        <f>IF($F$3&lt;&gt;"",(HLOOKUP($F$3,COMPOSITTIONS!$D$2:$AA$66,38,FALSE)),#REF!)</f>
        <v>0</v>
      </c>
      <c r="O52" s="54">
        <f t="shared" si="9"/>
        <v>0</v>
      </c>
      <c r="P52" s="54">
        <f>(O52*1000)/M52</f>
        <v>0</v>
      </c>
      <c r="Q52" s="55" t="e">
        <f>IF(P52=#REF!,"0",(P52/$P$16))</f>
        <v>#REF!</v>
      </c>
      <c r="S52" s="173">
        <f>E52</f>
        <v>2.15E-3</v>
      </c>
      <c r="T52" s="57" t="e">
        <f ca="1">IF(T52=#REF!,"0",$J$4/T52)</f>
        <v>#DIV/0!</v>
      </c>
      <c r="U52" s="57" t="e">
        <f t="shared" si="10"/>
        <v>#VALUE!</v>
      </c>
      <c r="V52" s="305" t="e">
        <f>IF($E$4&gt;10,HLOOKUP($E$4,COMPOSITTIONS!A:V,4,FALSE),#REF!)</f>
        <v>#N/A</v>
      </c>
      <c r="W52" s="278" t="e">
        <f>IF($F$4&lt;&gt;"",(HLOOKUP($F$4,COMPOSITTIONS!$D$2:$AA$66,38,FALSE)),#REF!)</f>
        <v>#REF!</v>
      </c>
      <c r="X52" s="278" t="e">
        <f t="shared" si="11"/>
        <v>#REF!</v>
      </c>
      <c r="Y52" s="57" t="e">
        <f t="shared" si="4"/>
        <v>#REF!</v>
      </c>
      <c r="Z52" s="55" t="e">
        <f>IF(Y52=#REF!,"0",(Y52/$Y$16))</f>
        <v>#REF!</v>
      </c>
      <c r="AB52" s="303" t="str">
        <f>IF($E$6=60,(C52/1000),"")</f>
        <v/>
      </c>
      <c r="AC52" s="282" t="str">
        <f t="shared" si="12"/>
        <v/>
      </c>
      <c r="AD52" s="278" t="str">
        <f t="shared" si="36"/>
        <v/>
      </c>
      <c r="AE52" s="302" t="str">
        <f t="shared" si="5"/>
        <v/>
      </c>
      <c r="AF52" s="278" t="str">
        <f t="shared" si="13"/>
        <v/>
      </c>
      <c r="AH52" s="303" t="str">
        <f>IF($E$7=60,(C52/1000),"")</f>
        <v/>
      </c>
      <c r="AI52" s="206" t="str">
        <f t="shared" si="14"/>
        <v/>
      </c>
      <c r="AJ52" s="278" t="str">
        <f t="shared" si="15"/>
        <v/>
      </c>
      <c r="AK52" s="302" t="str">
        <f t="shared" si="16"/>
        <v/>
      </c>
      <c r="AL52" s="278" t="str">
        <f t="shared" si="17"/>
        <v/>
      </c>
      <c r="AN52" s="303" t="str">
        <f>IF($E$8=60,(C52/1000),"")</f>
        <v/>
      </c>
      <c r="AO52" s="206" t="str">
        <f t="shared" si="18"/>
        <v/>
      </c>
      <c r="AP52" s="278" t="str">
        <f t="shared" si="19"/>
        <v/>
      </c>
      <c r="AQ52" s="302" t="str">
        <f t="shared" si="20"/>
        <v/>
      </c>
      <c r="AR52" s="278" t="str">
        <f t="shared" si="21"/>
        <v/>
      </c>
      <c r="AT52" s="203" t="str">
        <f>IF($E$9=60,(C52/1000),"")</f>
        <v/>
      </c>
      <c r="AU52" s="268" t="str">
        <f t="shared" si="22"/>
        <v/>
      </c>
      <c r="AV52" s="275" t="str">
        <f t="shared" si="23"/>
        <v/>
      </c>
      <c r="AW52" s="292" t="str">
        <f t="shared" si="24"/>
        <v/>
      </c>
      <c r="AX52" s="290" t="str">
        <f t="shared" si="25"/>
        <v/>
      </c>
      <c r="AZ52" s="203" t="str">
        <f>IF($E$10=60,(C52/1000),"")</f>
        <v/>
      </c>
      <c r="BA52" s="268" t="str">
        <f t="shared" si="26"/>
        <v/>
      </c>
      <c r="BB52" s="275" t="str">
        <f t="shared" si="27"/>
        <v/>
      </c>
      <c r="BC52" s="292" t="str">
        <f t="shared" si="28"/>
        <v/>
      </c>
      <c r="BD52" s="290" t="str">
        <f t="shared" si="29"/>
        <v/>
      </c>
      <c r="BF52" s="296" t="str">
        <f>IF($E$11=60,(C52/1000),"")</f>
        <v/>
      </c>
      <c r="BG52" s="267" t="str">
        <f t="shared" si="30"/>
        <v/>
      </c>
      <c r="BH52" s="275" t="str">
        <f t="shared" si="31"/>
        <v/>
      </c>
      <c r="BI52" s="292" t="str">
        <f t="shared" si="32"/>
        <v/>
      </c>
      <c r="BJ52" s="55" t="str">
        <f t="shared" si="33"/>
        <v/>
      </c>
    </row>
    <row r="53" spans="1:62" ht="13.5" customHeight="1" thickBot="1" x14ac:dyDescent="0.3">
      <c r="A53" s="34" t="b">
        <f t="shared" si="6"/>
        <v>0</v>
      </c>
      <c r="B53" s="61">
        <f>COMPOSITTIONS!A40</f>
        <v>61</v>
      </c>
      <c r="C53" s="282">
        <f>COMPOSITTIONS!B40</f>
        <v>3.8</v>
      </c>
      <c r="D53" s="284" t="str">
        <f>COMPOSITTIONS!C40</f>
        <v>RGH 4n</v>
      </c>
      <c r="E53" s="276">
        <f t="shared" si="3"/>
        <v>3.8E-3</v>
      </c>
      <c r="F53" s="278" t="e">
        <f>(#REF!+O53+AE53+AJ53+AP53+AV53+BB53+BH53+X53)</f>
        <v>#REF!</v>
      </c>
      <c r="G53" s="271" t="e">
        <f t="shared" si="34"/>
        <v>#REF!</v>
      </c>
      <c r="H53" s="275" t="e">
        <f>(BI53+BC53+AW53+AQ53+AK53+AF53+P53)</f>
        <v>#VALUE!</v>
      </c>
      <c r="I53" s="271" t="e">
        <f t="shared" si="35"/>
        <v>#VALUE!</v>
      </c>
      <c r="J53" s="56"/>
      <c r="K53" s="56"/>
      <c r="L53" s="56"/>
      <c r="M53" s="144">
        <f t="shared" si="8"/>
        <v>3.8E-3</v>
      </c>
      <c r="N53" s="58">
        <f>IF($F$3&lt;&gt;"",(HLOOKUP($F$3,COMPOSITTIONS!$D$2:$AA$66,39,FALSE)),#REF!)</f>
        <v>0</v>
      </c>
      <c r="O53" s="54">
        <f t="shared" si="9"/>
        <v>0</v>
      </c>
      <c r="P53" s="54">
        <f>(O53*1000)/M53</f>
        <v>0</v>
      </c>
      <c r="Q53" s="55" t="e">
        <f>IF(P53=#REF!,"0",(P53/$P$16))</f>
        <v>#REF!</v>
      </c>
      <c r="S53" s="173">
        <f>E53</f>
        <v>3.8E-3</v>
      </c>
      <c r="T53" s="57" t="e">
        <f ca="1">IF(T53=#REF!,"0",$J$4/T53)</f>
        <v>#DIV/0!</v>
      </c>
      <c r="U53" s="57" t="e">
        <f t="shared" si="10"/>
        <v>#VALUE!</v>
      </c>
      <c r="V53" s="305" t="e">
        <f>IF($E$4&gt;10,HLOOKUP($E$4,COMPOSITTIONS!A:V,4,FALSE),#REF!)</f>
        <v>#N/A</v>
      </c>
      <c r="W53" s="278" t="e">
        <f>IF($F$4&lt;&gt;"",(HLOOKUP($F$4,COMPOSITTIONS!$D$2:$AA$66,39,FALSE)),#REF!)</f>
        <v>#REF!</v>
      </c>
      <c r="X53" s="278" t="e">
        <f t="shared" si="11"/>
        <v>#REF!</v>
      </c>
      <c r="Y53" s="57" t="e">
        <f t="shared" si="4"/>
        <v>#REF!</v>
      </c>
      <c r="Z53" s="55" t="e">
        <f>IF(Y53=#REF!,"0",(Y53/$Y$16))</f>
        <v>#REF!</v>
      </c>
      <c r="AB53" s="303" t="str">
        <f>IF($E$6=61,(C53/1000),"")</f>
        <v/>
      </c>
      <c r="AC53" s="282" t="str">
        <f t="shared" si="12"/>
        <v/>
      </c>
      <c r="AD53" s="278" t="str">
        <f t="shared" si="36"/>
        <v/>
      </c>
      <c r="AE53" s="302" t="str">
        <f t="shared" si="5"/>
        <v/>
      </c>
      <c r="AF53" s="278" t="str">
        <f t="shared" si="13"/>
        <v/>
      </c>
      <c r="AH53" s="303" t="str">
        <f>IF($E$7=61,(C53/1000),"")</f>
        <v/>
      </c>
      <c r="AI53" s="206" t="str">
        <f t="shared" si="14"/>
        <v/>
      </c>
      <c r="AJ53" s="278" t="str">
        <f t="shared" si="15"/>
        <v/>
      </c>
      <c r="AK53" s="302" t="str">
        <f t="shared" si="16"/>
        <v/>
      </c>
      <c r="AL53" s="278" t="str">
        <f t="shared" si="17"/>
        <v/>
      </c>
      <c r="AN53" s="303" t="str">
        <f>IF($E$8=61,(C53/1000),"")</f>
        <v/>
      </c>
      <c r="AO53" s="206" t="str">
        <f t="shared" si="18"/>
        <v/>
      </c>
      <c r="AP53" s="278" t="str">
        <f t="shared" si="19"/>
        <v/>
      </c>
      <c r="AQ53" s="302" t="str">
        <f t="shared" si="20"/>
        <v/>
      </c>
      <c r="AR53" s="278" t="str">
        <f t="shared" si="21"/>
        <v/>
      </c>
      <c r="AT53" s="203" t="str">
        <f>IF($E$9=61,(C53/1000),"")</f>
        <v/>
      </c>
      <c r="AU53" s="268" t="str">
        <f t="shared" si="22"/>
        <v/>
      </c>
      <c r="AV53" s="275" t="str">
        <f t="shared" si="23"/>
        <v/>
      </c>
      <c r="AW53" s="292" t="str">
        <f t="shared" si="24"/>
        <v/>
      </c>
      <c r="AX53" s="290" t="str">
        <f t="shared" si="25"/>
        <v/>
      </c>
      <c r="AZ53" s="203" t="str">
        <f>IF($E$10=61,(C53/1000),"")</f>
        <v/>
      </c>
      <c r="BA53" s="268" t="str">
        <f t="shared" si="26"/>
        <v/>
      </c>
      <c r="BB53" s="275" t="str">
        <f t="shared" si="27"/>
        <v/>
      </c>
      <c r="BC53" s="292" t="str">
        <f t="shared" si="28"/>
        <v/>
      </c>
      <c r="BD53" s="290" t="str">
        <f t="shared" si="29"/>
        <v/>
      </c>
      <c r="BF53" s="296" t="str">
        <f>IF($E$11=61,(C53/1000),"")</f>
        <v/>
      </c>
      <c r="BG53" s="267" t="str">
        <f t="shared" si="30"/>
        <v/>
      </c>
      <c r="BH53" s="275" t="str">
        <f t="shared" si="31"/>
        <v/>
      </c>
      <c r="BI53" s="292" t="str">
        <f t="shared" si="32"/>
        <v/>
      </c>
      <c r="BJ53" s="55" t="str">
        <f t="shared" si="33"/>
        <v/>
      </c>
    </row>
    <row r="54" spans="1:62" ht="13.5" customHeight="1" thickBot="1" x14ac:dyDescent="0.3">
      <c r="A54" s="34" t="b">
        <f t="shared" si="6"/>
        <v>0</v>
      </c>
      <c r="B54" s="61">
        <f>COMPOSITTIONS!A41</f>
        <v>62</v>
      </c>
      <c r="C54" s="282">
        <f>COMPOSITTIONS!B41</f>
        <v>2</v>
      </c>
      <c r="D54" s="284" t="str">
        <f>COMPOSITTIONS!C41</f>
        <v>RGI A 2N</v>
      </c>
      <c r="E54" s="276">
        <f t="shared" si="3"/>
        <v>2E-3</v>
      </c>
      <c r="F54" s="278" t="e">
        <f>(#REF!+O54+AE54+AJ54+AP54+AV54+BB54+BH54+X54)</f>
        <v>#REF!</v>
      </c>
      <c r="G54" s="271" t="e">
        <f t="shared" si="34"/>
        <v>#REF!</v>
      </c>
      <c r="H54" s="275" t="e">
        <f>(BI54+BC54+AW54+AQ54+AK54+AF54+P54)</f>
        <v>#VALUE!</v>
      </c>
      <c r="I54" s="271" t="e">
        <f t="shared" si="35"/>
        <v>#VALUE!</v>
      </c>
      <c r="J54" s="56"/>
      <c r="K54" s="56"/>
      <c r="L54" s="56"/>
      <c r="M54" s="144">
        <f t="shared" si="8"/>
        <v>2E-3</v>
      </c>
      <c r="N54" s="58">
        <f>IF($F$3&lt;&gt;"",(HLOOKUP($F$3,COMPOSITTIONS!$D$2:$AA$66,40,FALSE)),#REF!)</f>
        <v>0</v>
      </c>
      <c r="O54" s="54">
        <f t="shared" si="9"/>
        <v>0</v>
      </c>
      <c r="P54" s="54">
        <f>(O54*1000)/M54</f>
        <v>0</v>
      </c>
      <c r="Q54" s="55" t="e">
        <f>IF(P54=#REF!,"0",(P54/$P$16))</f>
        <v>#REF!</v>
      </c>
      <c r="S54" s="173">
        <f>E54</f>
        <v>2E-3</v>
      </c>
      <c r="T54" s="57" t="e">
        <f ca="1">IF(T54=#REF!,"0",$J$4/T54)</f>
        <v>#DIV/0!</v>
      </c>
      <c r="U54" s="57" t="e">
        <f t="shared" si="10"/>
        <v>#VALUE!</v>
      </c>
      <c r="V54" s="305" t="e">
        <f>IF($E$4&gt;10,HLOOKUP($E$4,COMPOSITTIONS!A:V,4,FALSE),#REF!)</f>
        <v>#N/A</v>
      </c>
      <c r="W54" s="278" t="e">
        <f>IF($F$4&lt;&gt;"",(HLOOKUP($F$4,COMPOSITTIONS!$D$2:$AA$66,40,FALSE)),#REF!)</f>
        <v>#REF!</v>
      </c>
      <c r="X54" s="278" t="e">
        <f t="shared" si="11"/>
        <v>#REF!</v>
      </c>
      <c r="Y54" s="57" t="e">
        <f t="shared" si="4"/>
        <v>#REF!</v>
      </c>
      <c r="Z54" s="55" t="e">
        <f>IF(Y54=#REF!,"0",(Y54/$Y$16))</f>
        <v>#REF!</v>
      </c>
      <c r="AB54" s="303" t="str">
        <f>IF($E$6=62,(C54/1000),"")</f>
        <v/>
      </c>
      <c r="AC54" s="282" t="str">
        <f t="shared" si="12"/>
        <v/>
      </c>
      <c r="AD54" s="278" t="str">
        <f t="shared" si="36"/>
        <v/>
      </c>
      <c r="AE54" s="302" t="str">
        <f t="shared" si="5"/>
        <v/>
      </c>
      <c r="AF54" s="278" t="str">
        <f t="shared" si="13"/>
        <v/>
      </c>
      <c r="AH54" s="303" t="str">
        <f>IF($E$7=62,(C54/1000),"")</f>
        <v/>
      </c>
      <c r="AI54" s="206" t="str">
        <f t="shared" si="14"/>
        <v/>
      </c>
      <c r="AJ54" s="278" t="str">
        <f t="shared" si="15"/>
        <v/>
      </c>
      <c r="AK54" s="302" t="str">
        <f t="shared" si="16"/>
        <v/>
      </c>
      <c r="AL54" s="278" t="str">
        <f t="shared" si="17"/>
        <v/>
      </c>
      <c r="AN54" s="303" t="str">
        <f>IF($E$8=62,(C54/1000),"")</f>
        <v/>
      </c>
      <c r="AO54" s="206" t="str">
        <f t="shared" si="18"/>
        <v/>
      </c>
      <c r="AP54" s="278" t="str">
        <f t="shared" si="19"/>
        <v/>
      </c>
      <c r="AQ54" s="302" t="str">
        <f t="shared" si="20"/>
        <v/>
      </c>
      <c r="AR54" s="278" t="str">
        <f t="shared" si="21"/>
        <v/>
      </c>
      <c r="AT54" s="203" t="str">
        <f>IF($E$9=62,(C54/1000),"")</f>
        <v/>
      </c>
      <c r="AU54" s="268" t="str">
        <f t="shared" si="22"/>
        <v/>
      </c>
      <c r="AV54" s="275" t="str">
        <f t="shared" si="23"/>
        <v/>
      </c>
      <c r="AW54" s="292" t="str">
        <f t="shared" si="24"/>
        <v/>
      </c>
      <c r="AX54" s="290" t="str">
        <f t="shared" si="25"/>
        <v/>
      </c>
      <c r="AZ54" s="203" t="str">
        <f>IF($E$10=62,(C54/1000),"")</f>
        <v/>
      </c>
      <c r="BA54" s="268" t="str">
        <f t="shared" si="26"/>
        <v/>
      </c>
      <c r="BB54" s="275" t="str">
        <f t="shared" si="27"/>
        <v/>
      </c>
      <c r="BC54" s="292" t="str">
        <f t="shared" si="28"/>
        <v/>
      </c>
      <c r="BD54" s="290" t="str">
        <f t="shared" si="29"/>
        <v/>
      </c>
      <c r="BF54" s="296" t="str">
        <f>IF($E$11=62,(C54/1000),"")</f>
        <v/>
      </c>
      <c r="BG54" s="267" t="str">
        <f t="shared" si="30"/>
        <v/>
      </c>
      <c r="BH54" s="275" t="str">
        <f t="shared" si="31"/>
        <v/>
      </c>
      <c r="BI54" s="292" t="str">
        <f t="shared" si="32"/>
        <v/>
      </c>
      <c r="BJ54" s="55" t="str">
        <f t="shared" si="33"/>
        <v/>
      </c>
    </row>
    <row r="55" spans="1:62" ht="13.5" customHeight="1" thickBot="1" x14ac:dyDescent="0.3">
      <c r="A55" s="34" t="b">
        <f t="shared" si="6"/>
        <v>0</v>
      </c>
      <c r="B55" s="61">
        <f>COMPOSITTIONS!A42</f>
        <v>63</v>
      </c>
      <c r="C55" s="282">
        <f>COMPOSITTIONS!B42</f>
        <v>2.7</v>
      </c>
      <c r="D55" s="284" t="str">
        <f>COMPOSITTIONS!C42</f>
        <v>RGI A 4N</v>
      </c>
      <c r="E55" s="276">
        <f t="shared" si="3"/>
        <v>2.7000000000000001E-3</v>
      </c>
      <c r="F55" s="278" t="e">
        <f>(#REF!+O55+AE55+AJ55+AP55+AV55+BB55+BH55+X55)</f>
        <v>#REF!</v>
      </c>
      <c r="G55" s="271" t="e">
        <f t="shared" si="34"/>
        <v>#REF!</v>
      </c>
      <c r="H55" s="275" t="e">
        <f>(BI55+BC55+AW55+AQ55+AK55+AF55+P55)</f>
        <v>#VALUE!</v>
      </c>
      <c r="I55" s="271" t="e">
        <f t="shared" si="35"/>
        <v>#VALUE!</v>
      </c>
      <c r="J55" s="56"/>
      <c r="K55" s="56"/>
      <c r="L55" s="56"/>
      <c r="M55" s="144">
        <f t="shared" si="8"/>
        <v>2.7000000000000001E-3</v>
      </c>
      <c r="N55" s="58">
        <f>IF($F$3&lt;&gt;"",(HLOOKUP($F$3,COMPOSITTIONS!$D$2:$AA$66,41,FALSE)),#REF!)</f>
        <v>0</v>
      </c>
      <c r="O55" s="54">
        <f t="shared" si="9"/>
        <v>0</v>
      </c>
      <c r="P55" s="54">
        <f>(O55*1000)/M55</f>
        <v>0</v>
      </c>
      <c r="Q55" s="55" t="e">
        <f>IF(P55=#REF!,"0",(P55/$P$16))</f>
        <v>#REF!</v>
      </c>
      <c r="S55" s="173">
        <f>E55</f>
        <v>2.7000000000000001E-3</v>
      </c>
      <c r="T55" s="57" t="e">
        <f ca="1">IF(T55=#REF!,"0",$J$4/T55)</f>
        <v>#DIV/0!</v>
      </c>
      <c r="U55" s="57" t="e">
        <f t="shared" si="10"/>
        <v>#VALUE!</v>
      </c>
      <c r="V55" s="305" t="e">
        <f>IF($E$4&gt;10,HLOOKUP($E$4,COMPOSITTIONS!A:V,4,FALSE),#REF!)</f>
        <v>#N/A</v>
      </c>
      <c r="W55" s="278" t="e">
        <f>IF($F$4&lt;&gt;"",(HLOOKUP($F$4,COMPOSITTIONS!$D$2:$AA$66,41,FALSE)),#REF!)</f>
        <v>#REF!</v>
      </c>
      <c r="X55" s="278" t="e">
        <f t="shared" si="11"/>
        <v>#REF!</v>
      </c>
      <c r="Y55" s="57" t="e">
        <f t="shared" si="4"/>
        <v>#REF!</v>
      </c>
      <c r="Z55" s="55" t="e">
        <f>IF(Y55=#REF!,"0",(Y55/$Y$16))</f>
        <v>#REF!</v>
      </c>
      <c r="AB55" s="303" t="str">
        <f>IF($E$6=63,(C55/1000),"")</f>
        <v/>
      </c>
      <c r="AC55" s="282" t="str">
        <f t="shared" si="12"/>
        <v/>
      </c>
      <c r="AD55" s="278" t="str">
        <f t="shared" si="36"/>
        <v/>
      </c>
      <c r="AE55" s="302" t="str">
        <f t="shared" si="5"/>
        <v/>
      </c>
      <c r="AF55" s="278" t="str">
        <f t="shared" si="13"/>
        <v/>
      </c>
      <c r="AH55" s="303" t="str">
        <f>IF($E$7=63,(C55/1000),"")</f>
        <v/>
      </c>
      <c r="AI55" s="206" t="str">
        <f t="shared" si="14"/>
        <v/>
      </c>
      <c r="AJ55" s="278" t="str">
        <f t="shared" si="15"/>
        <v/>
      </c>
      <c r="AK55" s="302" t="str">
        <f t="shared" si="16"/>
        <v/>
      </c>
      <c r="AL55" s="278" t="str">
        <f t="shared" si="17"/>
        <v/>
      </c>
      <c r="AN55" s="303" t="str">
        <f>IF($E$8=63,(C55/1000),"")</f>
        <v/>
      </c>
      <c r="AO55" s="206" t="str">
        <f t="shared" si="18"/>
        <v/>
      </c>
      <c r="AP55" s="278" t="str">
        <f t="shared" si="19"/>
        <v/>
      </c>
      <c r="AQ55" s="302" t="str">
        <f t="shared" si="20"/>
        <v/>
      </c>
      <c r="AR55" s="278" t="str">
        <f t="shared" si="21"/>
        <v/>
      </c>
      <c r="AT55" s="203" t="str">
        <f>IF($E$9=63,(C55/1000),"")</f>
        <v/>
      </c>
      <c r="AU55" s="268" t="str">
        <f t="shared" si="22"/>
        <v/>
      </c>
      <c r="AV55" s="275" t="str">
        <f t="shared" si="23"/>
        <v/>
      </c>
      <c r="AW55" s="292" t="str">
        <f t="shared" si="24"/>
        <v/>
      </c>
      <c r="AX55" s="290" t="str">
        <f t="shared" si="25"/>
        <v/>
      </c>
      <c r="AZ55" s="203" t="str">
        <f>IF($E$10=63,(C55/1000),"")</f>
        <v/>
      </c>
      <c r="BA55" s="268" t="str">
        <f>IF(AZ55="","",(1/AZ55))</f>
        <v/>
      </c>
      <c r="BB55" s="275" t="str">
        <f t="shared" si="27"/>
        <v/>
      </c>
      <c r="BC55" s="292" t="str">
        <f t="shared" si="28"/>
        <v/>
      </c>
      <c r="BD55" s="290" t="str">
        <f t="shared" si="29"/>
        <v/>
      </c>
      <c r="BF55" s="296" t="str">
        <f>IF($E$11=63,(C55/1000),"")</f>
        <v/>
      </c>
      <c r="BG55" s="267" t="str">
        <f t="shared" si="30"/>
        <v/>
      </c>
      <c r="BH55" s="275" t="str">
        <f t="shared" si="31"/>
        <v/>
      </c>
      <c r="BI55" s="292" t="str">
        <f t="shared" si="32"/>
        <v/>
      </c>
      <c r="BJ55" s="55" t="str">
        <f t="shared" si="33"/>
        <v/>
      </c>
    </row>
    <row r="56" spans="1:62" ht="13.5" customHeight="1" thickBot="1" x14ac:dyDescent="0.3">
      <c r="A56" s="34" t="b">
        <f t="shared" si="6"/>
        <v>0</v>
      </c>
      <c r="B56" s="61">
        <f>COMPOSITTIONS!A43</f>
        <v>64</v>
      </c>
      <c r="C56" s="282">
        <f>COMPOSITTIONS!B43</f>
        <v>2</v>
      </c>
      <c r="D56" s="284" t="str">
        <f>COMPOSITTIONS!C43</f>
        <v>RGI NA 2N</v>
      </c>
      <c r="E56" s="276">
        <f t="shared" si="3"/>
        <v>2E-3</v>
      </c>
      <c r="F56" s="278" t="e">
        <f>(#REF!+O56+AE56+AJ56+AP56+AV56+BB56+BH56+X56)</f>
        <v>#REF!</v>
      </c>
      <c r="G56" s="271" t="e">
        <f t="shared" si="34"/>
        <v>#REF!</v>
      </c>
      <c r="H56" s="275" t="e">
        <f>(BI56+BC56+AW56+AQ56+AK56+AF56+P56)</f>
        <v>#VALUE!</v>
      </c>
      <c r="I56" s="271" t="e">
        <f t="shared" si="35"/>
        <v>#VALUE!</v>
      </c>
      <c r="J56" s="56"/>
      <c r="K56" s="56"/>
      <c r="L56" s="56"/>
      <c r="M56" s="144">
        <f t="shared" si="8"/>
        <v>2E-3</v>
      </c>
      <c r="N56" s="58">
        <f>IF($F$3&lt;&gt;"",(HLOOKUP($F$3,COMPOSITTIONS!$D$2:$AA$66,42,FALSE)),#REF!)</f>
        <v>0</v>
      </c>
      <c r="O56" s="54">
        <f t="shared" si="9"/>
        <v>0</v>
      </c>
      <c r="P56" s="54">
        <f>(O56*1000)/M56</f>
        <v>0</v>
      </c>
      <c r="Q56" s="55" t="e">
        <f>IF(P56=#REF!,"0",(P56/$P$16))</f>
        <v>#REF!</v>
      </c>
      <c r="S56" s="173">
        <f>E56</f>
        <v>2E-3</v>
      </c>
      <c r="T56" s="57" t="e">
        <f ca="1">IF(T56=#REF!,"0",$J$4/T56)</f>
        <v>#DIV/0!</v>
      </c>
      <c r="U56" s="57" t="e">
        <f t="shared" si="10"/>
        <v>#VALUE!</v>
      </c>
      <c r="V56" s="305" t="e">
        <f>IF($E$4&gt;10,HLOOKUP($E$4,COMPOSITTIONS!A:V,4,FALSE),#REF!)</f>
        <v>#N/A</v>
      </c>
      <c r="W56" s="278" t="e">
        <f>IF($F$4&lt;&gt;"",(HLOOKUP($F$4,COMPOSITTIONS!$D$2:$AA$66,42,FALSE)),#REF!)</f>
        <v>#REF!</v>
      </c>
      <c r="X56" s="278" t="e">
        <f t="shared" si="11"/>
        <v>#REF!</v>
      </c>
      <c r="Y56" s="57" t="e">
        <f t="shared" si="4"/>
        <v>#REF!</v>
      </c>
      <c r="Z56" s="55" t="e">
        <f>IF(Y56=#REF!,"0",(Y56/$Y$16))</f>
        <v>#REF!</v>
      </c>
      <c r="AB56" s="303" t="str">
        <f>IF($E$6=64,(C56/1000),"")</f>
        <v/>
      </c>
      <c r="AC56" s="282" t="str">
        <f t="shared" si="12"/>
        <v/>
      </c>
      <c r="AD56" s="278" t="str">
        <f t="shared" si="36"/>
        <v/>
      </c>
      <c r="AE56" s="302" t="str">
        <f t="shared" si="5"/>
        <v/>
      </c>
      <c r="AF56" s="278" t="str">
        <f t="shared" si="13"/>
        <v/>
      </c>
      <c r="AH56" s="303" t="str">
        <f>IF($E$7=64,(C56/1000),"")</f>
        <v/>
      </c>
      <c r="AI56" s="206" t="str">
        <f t="shared" si="14"/>
        <v/>
      </c>
      <c r="AJ56" s="278" t="str">
        <f t="shared" si="15"/>
        <v/>
      </c>
      <c r="AK56" s="302" t="str">
        <f t="shared" si="16"/>
        <v/>
      </c>
      <c r="AL56" s="278" t="str">
        <f t="shared" si="17"/>
        <v/>
      </c>
      <c r="AN56" s="296" t="str">
        <f>IF($E$8=64,(C56/1000),"")</f>
        <v/>
      </c>
      <c r="AO56" s="211" t="str">
        <f t="shared" si="18"/>
        <v/>
      </c>
      <c r="AP56" s="51" t="str">
        <f t="shared" si="19"/>
        <v/>
      </c>
      <c r="AQ56" s="286" t="str">
        <f t="shared" si="20"/>
        <v/>
      </c>
      <c r="AR56" s="51" t="str">
        <f t="shared" si="21"/>
        <v/>
      </c>
      <c r="AT56" s="203" t="str">
        <f>IF($E$9=64,(C56/1000),"")</f>
        <v/>
      </c>
      <c r="AU56" s="268" t="str">
        <f t="shared" si="22"/>
        <v/>
      </c>
      <c r="AV56" s="275" t="str">
        <f t="shared" si="23"/>
        <v/>
      </c>
      <c r="AW56" s="292" t="str">
        <f t="shared" si="24"/>
        <v/>
      </c>
      <c r="AX56" s="290" t="str">
        <f t="shared" si="25"/>
        <v/>
      </c>
      <c r="AZ56" s="203" t="str">
        <f>IF($E$10=64,(C56/1000),"")</f>
        <v/>
      </c>
      <c r="BA56" s="268" t="str">
        <f t="shared" si="26"/>
        <v/>
      </c>
      <c r="BB56" s="275" t="str">
        <f t="shared" si="27"/>
        <v/>
      </c>
      <c r="BC56" s="292" t="str">
        <f t="shared" si="28"/>
        <v/>
      </c>
      <c r="BD56" s="290" t="str">
        <f t="shared" si="29"/>
        <v/>
      </c>
      <c r="BF56" s="296" t="str">
        <f>IF($E$11=64,(C56/1000),"")</f>
        <v/>
      </c>
      <c r="BG56" s="267" t="str">
        <f t="shared" si="30"/>
        <v/>
      </c>
      <c r="BH56" s="275" t="str">
        <f t="shared" si="31"/>
        <v/>
      </c>
      <c r="BI56" s="292" t="str">
        <f t="shared" si="32"/>
        <v/>
      </c>
      <c r="BJ56" s="55" t="str">
        <f t="shared" si="33"/>
        <v/>
      </c>
    </row>
    <row r="57" spans="1:62" ht="13.5" customHeight="1" thickBot="1" x14ac:dyDescent="0.3">
      <c r="A57" s="34" t="b">
        <f t="shared" si="6"/>
        <v>0</v>
      </c>
      <c r="B57" s="61">
        <f>COMPOSITTIONS!A44</f>
        <v>65</v>
      </c>
      <c r="C57" s="282">
        <f>COMPOSITTIONS!B44</f>
        <v>2.7</v>
      </c>
      <c r="D57" s="284" t="str">
        <f>COMPOSITTIONS!C44</f>
        <v>RGI NA 4N</v>
      </c>
      <c r="E57" s="276">
        <f t="shared" si="3"/>
        <v>2.7000000000000001E-3</v>
      </c>
      <c r="F57" s="278" t="e">
        <f>(#REF!+O57+AE57+AJ57+AP57+AV57+BB57+BH57+X57)</f>
        <v>#REF!</v>
      </c>
      <c r="G57" s="271" t="e">
        <f t="shared" si="34"/>
        <v>#REF!</v>
      </c>
      <c r="H57" s="275" t="e">
        <f>(BI57+BC57+AW57+AQ57+AK57+AF57+P57)</f>
        <v>#VALUE!</v>
      </c>
      <c r="I57" s="271" t="e">
        <f t="shared" si="35"/>
        <v>#VALUE!</v>
      </c>
      <c r="J57" s="56"/>
      <c r="K57" s="56"/>
      <c r="L57" s="56"/>
      <c r="M57" s="144">
        <f t="shared" si="8"/>
        <v>2.7000000000000001E-3</v>
      </c>
      <c r="N57" s="58">
        <f>IF($F$3&lt;&gt;"",(HLOOKUP($F$3,COMPOSITTIONS!$D$2:$AA$66,43,FALSE)),#REF!)</f>
        <v>0</v>
      </c>
      <c r="O57" s="54">
        <f t="shared" si="9"/>
        <v>0</v>
      </c>
      <c r="P57" s="54">
        <f>(O57*1000)/M57</f>
        <v>0</v>
      </c>
      <c r="Q57" s="55" t="e">
        <f>IF(P57=#REF!,"0",(P57/$P$16))</f>
        <v>#REF!</v>
      </c>
      <c r="S57" s="173">
        <f>E57</f>
        <v>2.7000000000000001E-3</v>
      </c>
      <c r="T57" s="57" t="e">
        <f ca="1">IF(T57=#REF!,"0",$J$4/T57)</f>
        <v>#DIV/0!</v>
      </c>
      <c r="U57" s="57" t="e">
        <f t="shared" si="10"/>
        <v>#VALUE!</v>
      </c>
      <c r="V57" s="305" t="e">
        <f>IF($E$4&gt;10,HLOOKUP($E$4,COMPOSITTIONS!A:V,4,FALSE),#REF!)</f>
        <v>#N/A</v>
      </c>
      <c r="W57" s="278" t="e">
        <f>IF($F$4&lt;&gt;"",(HLOOKUP($F$4,COMPOSITTIONS!$D$2:$AA$66,43,FALSE)),#REF!)</f>
        <v>#REF!</v>
      </c>
      <c r="X57" s="278" t="e">
        <f t="shared" si="11"/>
        <v>#REF!</v>
      </c>
      <c r="Y57" s="57" t="e">
        <f t="shared" si="4"/>
        <v>#REF!</v>
      </c>
      <c r="Z57" s="55" t="e">
        <f>IF(Y57=#REF!,"0",(Y57/$Y$16))</f>
        <v>#REF!</v>
      </c>
      <c r="AB57" s="303" t="str">
        <f>IF($E$6=65,(C57/1000),"")</f>
        <v/>
      </c>
      <c r="AC57" s="282" t="str">
        <f t="shared" si="12"/>
        <v/>
      </c>
      <c r="AD57" s="278" t="str">
        <f t="shared" si="36"/>
        <v/>
      </c>
      <c r="AE57" s="302" t="str">
        <f t="shared" si="5"/>
        <v/>
      </c>
      <c r="AF57" s="278" t="str">
        <f t="shared" si="13"/>
        <v/>
      </c>
      <c r="AH57" s="303" t="str">
        <f>IF($E$7=65,(C57/1000),"")</f>
        <v/>
      </c>
      <c r="AI57" s="206" t="str">
        <f t="shared" si="14"/>
        <v/>
      </c>
      <c r="AJ57" s="278" t="str">
        <f t="shared" si="15"/>
        <v/>
      </c>
      <c r="AK57" s="302" t="str">
        <f t="shared" si="16"/>
        <v/>
      </c>
      <c r="AL57" s="278" t="str">
        <f t="shared" si="17"/>
        <v/>
      </c>
      <c r="AN57" s="303" t="str">
        <f>IF($E$8=65,(C57/1000),"")</f>
        <v/>
      </c>
      <c r="AO57" s="206" t="str">
        <f t="shared" si="18"/>
        <v/>
      </c>
      <c r="AP57" s="278" t="str">
        <f t="shared" si="19"/>
        <v/>
      </c>
      <c r="AQ57" s="302" t="str">
        <f t="shared" si="20"/>
        <v/>
      </c>
      <c r="AR57" s="278" t="str">
        <f t="shared" si="21"/>
        <v/>
      </c>
      <c r="AT57" s="203" t="str">
        <f>IF($E$9=65,(C57/1000),"")</f>
        <v/>
      </c>
      <c r="AU57" s="268" t="str">
        <f t="shared" si="22"/>
        <v/>
      </c>
      <c r="AV57" s="275" t="str">
        <f t="shared" si="23"/>
        <v/>
      </c>
      <c r="AW57" s="292" t="str">
        <f t="shared" si="24"/>
        <v/>
      </c>
      <c r="AX57" s="290" t="str">
        <f t="shared" si="25"/>
        <v/>
      </c>
      <c r="AZ57" s="203" t="str">
        <f>IF($E$10=65,(C57/1000),"")</f>
        <v/>
      </c>
      <c r="BA57" s="268" t="str">
        <f t="shared" si="26"/>
        <v/>
      </c>
      <c r="BB57" s="275" t="str">
        <f t="shared" si="27"/>
        <v/>
      </c>
      <c r="BC57" s="292" t="str">
        <f t="shared" si="28"/>
        <v/>
      </c>
      <c r="BD57" s="290" t="str">
        <f t="shared" si="29"/>
        <v/>
      </c>
      <c r="BF57" s="296" t="str">
        <f>IF($E$11=65,(C57/1000),"")</f>
        <v/>
      </c>
      <c r="BG57" s="267" t="str">
        <f t="shared" si="30"/>
        <v/>
      </c>
      <c r="BH57" s="275" t="str">
        <f t="shared" si="31"/>
        <v/>
      </c>
      <c r="BI57" s="292" t="str">
        <f t="shared" si="32"/>
        <v/>
      </c>
      <c r="BJ57" s="55" t="str">
        <f t="shared" si="33"/>
        <v/>
      </c>
    </row>
    <row r="58" spans="1:62" ht="13.5" customHeight="1" thickBot="1" x14ac:dyDescent="0.3">
      <c r="A58" s="34" t="b">
        <f t="shared" si="6"/>
        <v>0</v>
      </c>
      <c r="B58" s="61">
        <f>COMPOSITTIONS!A45</f>
        <v>66</v>
      </c>
      <c r="C58" s="282">
        <f>COMPOSITTIONS!B45</f>
        <v>21.9</v>
      </c>
      <c r="D58" s="284" t="str">
        <f>COMPOSITTIONS!C45</f>
        <v>Sainfoin (cosse)</v>
      </c>
      <c r="E58" s="276">
        <f t="shared" si="3"/>
        <v>2.1899999999999999E-2</v>
      </c>
      <c r="F58" s="278" t="e">
        <f>(#REF!+O58+AE58+AJ58+AP58+AV58+BB58+BH58+X58)</f>
        <v>#REF!</v>
      </c>
      <c r="G58" s="271" t="e">
        <f t="shared" si="34"/>
        <v>#REF!</v>
      </c>
      <c r="H58" s="275" t="e">
        <f>(BI58+BC58+AW58+AQ58+AK58+AF58+P58)</f>
        <v>#VALUE!</v>
      </c>
      <c r="I58" s="271" t="e">
        <f t="shared" si="35"/>
        <v>#VALUE!</v>
      </c>
      <c r="J58" s="56"/>
      <c r="K58" s="56"/>
      <c r="L58" s="56"/>
      <c r="M58" s="144">
        <f t="shared" si="8"/>
        <v>2.1899999999999999E-2</v>
      </c>
      <c r="N58" s="58">
        <f>IF($F$3&lt;&gt;"",(HLOOKUP($F$3,COMPOSITTIONS!$D$2:$AA$66,44,FALSE)),#REF!)</f>
        <v>0</v>
      </c>
      <c r="O58" s="54">
        <f t="shared" si="9"/>
        <v>0</v>
      </c>
      <c r="P58" s="54">
        <f>(O58*1000)/M58</f>
        <v>0</v>
      </c>
      <c r="Q58" s="55" t="e">
        <f>IF(P58=#REF!,"0",(P58/$P$16))</f>
        <v>#REF!</v>
      </c>
      <c r="S58" s="173">
        <f>E58</f>
        <v>2.1899999999999999E-2</v>
      </c>
      <c r="T58" s="57" t="e">
        <f ca="1">IF(T58=#REF!,"0",$J$4/T58)</f>
        <v>#DIV/0!</v>
      </c>
      <c r="U58" s="57" t="e">
        <f t="shared" si="10"/>
        <v>#VALUE!</v>
      </c>
      <c r="V58" s="305" t="e">
        <f>IF($E$4&gt;10,HLOOKUP($E$4,COMPOSITTIONS!A:V,4,FALSE),#REF!)</f>
        <v>#N/A</v>
      </c>
      <c r="W58" s="278" t="e">
        <f>IF($F$4&lt;&gt;"",(HLOOKUP($F$4,COMPOSITTIONS!$D$2:$AA$66,44,FALSE)),#REF!)</f>
        <v>#REF!</v>
      </c>
      <c r="X58" s="278" t="e">
        <f t="shared" si="11"/>
        <v>#REF!</v>
      </c>
      <c r="Y58" s="57" t="e">
        <f t="shared" si="4"/>
        <v>#REF!</v>
      </c>
      <c r="Z58" s="55" t="e">
        <f>IF(Y58=#REF!,"0",(Y58/$Y$16))</f>
        <v>#REF!</v>
      </c>
      <c r="AB58" s="303" t="str">
        <f>IF($E$6=66,(C58/1000),"")</f>
        <v/>
      </c>
      <c r="AC58" s="282" t="str">
        <f t="shared" si="12"/>
        <v/>
      </c>
      <c r="AD58" s="278" t="str">
        <f t="shared" si="36"/>
        <v/>
      </c>
      <c r="AE58" s="302" t="str">
        <f t="shared" si="5"/>
        <v/>
      </c>
      <c r="AF58" s="278" t="str">
        <f t="shared" si="13"/>
        <v/>
      </c>
      <c r="AH58" s="303" t="str">
        <f>IF($E$7=66,(C58/1000),"")</f>
        <v/>
      </c>
      <c r="AI58" s="206" t="str">
        <f t="shared" si="14"/>
        <v/>
      </c>
      <c r="AJ58" s="278" t="str">
        <f t="shared" si="15"/>
        <v/>
      </c>
      <c r="AK58" s="302" t="str">
        <f t="shared" si="16"/>
        <v/>
      </c>
      <c r="AL58" s="278" t="str">
        <f t="shared" si="17"/>
        <v/>
      </c>
      <c r="AN58" s="303" t="str">
        <f>IF($E$8=66,(C58/1000),"")</f>
        <v/>
      </c>
      <c r="AO58" s="206" t="str">
        <f t="shared" si="18"/>
        <v/>
      </c>
      <c r="AP58" s="278" t="str">
        <f t="shared" si="19"/>
        <v/>
      </c>
      <c r="AQ58" s="302" t="str">
        <f t="shared" si="20"/>
        <v/>
      </c>
      <c r="AR58" s="278" t="str">
        <f t="shared" si="21"/>
        <v/>
      </c>
      <c r="AT58" s="203" t="str">
        <f>IF($E$9=66,(C58/1000),"")</f>
        <v/>
      </c>
      <c r="AU58" s="268" t="str">
        <f t="shared" si="22"/>
        <v/>
      </c>
      <c r="AV58" s="275" t="str">
        <f t="shared" si="23"/>
        <v/>
      </c>
      <c r="AW58" s="292" t="str">
        <f t="shared" si="24"/>
        <v/>
      </c>
      <c r="AX58" s="290" t="str">
        <f t="shared" si="25"/>
        <v/>
      </c>
      <c r="AZ58" s="203" t="str">
        <f>IF($E$10=66,(C58/1000),"")</f>
        <v/>
      </c>
      <c r="BA58" s="268" t="str">
        <f t="shared" si="26"/>
        <v/>
      </c>
      <c r="BB58" s="275" t="str">
        <f t="shared" si="27"/>
        <v/>
      </c>
      <c r="BC58" s="292" t="str">
        <f t="shared" si="28"/>
        <v/>
      </c>
      <c r="BD58" s="290" t="str">
        <f t="shared" si="29"/>
        <v/>
      </c>
      <c r="BF58" s="296" t="str">
        <f>IF($E$11=66,(C58/1000),"")</f>
        <v/>
      </c>
      <c r="BG58" s="267" t="str">
        <f t="shared" si="30"/>
        <v/>
      </c>
      <c r="BH58" s="275" t="str">
        <f t="shared" si="31"/>
        <v/>
      </c>
      <c r="BI58" s="292" t="str">
        <f t="shared" si="32"/>
        <v/>
      </c>
      <c r="BJ58" s="55" t="str">
        <f t="shared" si="33"/>
        <v/>
      </c>
    </row>
    <row r="59" spans="1:62" ht="13.5" customHeight="1" thickBot="1" x14ac:dyDescent="0.3">
      <c r="A59" s="34" t="b">
        <f t="shared" si="6"/>
        <v>0</v>
      </c>
      <c r="B59" s="61">
        <f>COMPOSITTIONS!A46</f>
        <v>67</v>
      </c>
      <c r="C59" s="282">
        <f>COMPOSITTIONS!B46</f>
        <v>21</v>
      </c>
      <c r="D59" s="284" t="str">
        <f>COMPOSITTIONS!C46</f>
        <v>Sainfoin decortiqué</v>
      </c>
      <c r="E59" s="276">
        <f t="shared" si="3"/>
        <v>2.1000000000000001E-2</v>
      </c>
      <c r="F59" s="278" t="e">
        <f>(#REF!+O59+AE59+AJ59+AP59+AV59+BB59+BH59+X59)</f>
        <v>#REF!</v>
      </c>
      <c r="G59" s="271" t="e">
        <f t="shared" si="34"/>
        <v>#REF!</v>
      </c>
      <c r="H59" s="275" t="e">
        <f>(BI59+BC59+AW59+AQ59+AK59+AF59+P59)</f>
        <v>#VALUE!</v>
      </c>
      <c r="I59" s="271" t="e">
        <f t="shared" si="35"/>
        <v>#VALUE!</v>
      </c>
      <c r="J59" s="56"/>
      <c r="K59" s="56"/>
      <c r="L59" s="56"/>
      <c r="M59" s="144">
        <f t="shared" si="8"/>
        <v>2.1000000000000001E-2</v>
      </c>
      <c r="N59" s="58">
        <f>IF($F$3&lt;&gt;"",(HLOOKUP($F$3,COMPOSITTIONS!$D$2:$AA$66,45,FALSE)),#REF!)</f>
        <v>0</v>
      </c>
      <c r="O59" s="54">
        <f t="shared" si="9"/>
        <v>0</v>
      </c>
      <c r="P59" s="54">
        <f>(O59*1000)/M59</f>
        <v>0</v>
      </c>
      <c r="Q59" s="55" t="e">
        <f>IF(P59=#REF!,"0",(P59/$P$16))</f>
        <v>#REF!</v>
      </c>
      <c r="S59" s="173">
        <f>E59</f>
        <v>2.1000000000000001E-2</v>
      </c>
      <c r="T59" s="57" t="e">
        <f ca="1">IF(T59=#REF!,"0",$J$4/T59)</f>
        <v>#DIV/0!</v>
      </c>
      <c r="U59" s="57" t="e">
        <f t="shared" si="10"/>
        <v>#VALUE!</v>
      </c>
      <c r="V59" s="305" t="e">
        <f>IF($E$4&gt;10,HLOOKUP($E$4,COMPOSITTIONS!A:V,4,FALSE),#REF!)</f>
        <v>#N/A</v>
      </c>
      <c r="W59" s="278" t="e">
        <f>IF($F$4&lt;&gt;"",(HLOOKUP($F$4,COMPOSITTIONS!$D$2:$AA$66,45,FALSE)),#REF!)</f>
        <v>#REF!</v>
      </c>
      <c r="X59" s="278" t="e">
        <f t="shared" si="11"/>
        <v>#REF!</v>
      </c>
      <c r="Y59" s="57" t="e">
        <f t="shared" si="4"/>
        <v>#REF!</v>
      </c>
      <c r="Z59" s="55" t="e">
        <f>IF(Y59=#REF!,"0",(Y59/$Y$16))</f>
        <v>#REF!</v>
      </c>
      <c r="AB59" s="303" t="str">
        <f>IF($E$6=67,(C59/1000),"")</f>
        <v/>
      </c>
      <c r="AC59" s="282" t="str">
        <f t="shared" si="12"/>
        <v/>
      </c>
      <c r="AD59" s="278" t="str">
        <f t="shared" si="36"/>
        <v/>
      </c>
      <c r="AE59" s="302" t="str">
        <f t="shared" si="5"/>
        <v/>
      </c>
      <c r="AF59" s="278" t="str">
        <f t="shared" si="13"/>
        <v/>
      </c>
      <c r="AH59" s="303" t="str">
        <f>IF($E$7=67,(C59/1000),"")</f>
        <v/>
      </c>
      <c r="AI59" s="206" t="str">
        <f t="shared" si="14"/>
        <v/>
      </c>
      <c r="AJ59" s="278" t="str">
        <f t="shared" si="15"/>
        <v/>
      </c>
      <c r="AK59" s="302" t="str">
        <f t="shared" si="16"/>
        <v/>
      </c>
      <c r="AL59" s="278" t="str">
        <f t="shared" si="17"/>
        <v/>
      </c>
      <c r="AN59" s="303" t="str">
        <f>IF($E$8=67,(C59/1000),"")</f>
        <v/>
      </c>
      <c r="AO59" s="206" t="str">
        <f t="shared" si="18"/>
        <v/>
      </c>
      <c r="AP59" s="278" t="str">
        <f t="shared" si="19"/>
        <v/>
      </c>
      <c r="AQ59" s="302" t="str">
        <f t="shared" si="20"/>
        <v/>
      </c>
      <c r="AR59" s="278" t="str">
        <f t="shared" si="21"/>
        <v/>
      </c>
      <c r="AT59" s="203" t="str">
        <f>IF($E$9=67,(C59/1000),"")</f>
        <v/>
      </c>
      <c r="AU59" s="268" t="str">
        <f t="shared" si="22"/>
        <v/>
      </c>
      <c r="AV59" s="275" t="str">
        <f t="shared" si="23"/>
        <v/>
      </c>
      <c r="AW59" s="292" t="str">
        <f t="shared" si="24"/>
        <v/>
      </c>
      <c r="AX59" s="290" t="str">
        <f t="shared" si="25"/>
        <v/>
      </c>
      <c r="AZ59" s="203" t="str">
        <f>IF($E$10=67,(C59/1000),"")</f>
        <v/>
      </c>
      <c r="BA59" s="268" t="str">
        <f t="shared" si="26"/>
        <v/>
      </c>
      <c r="BB59" s="275" t="str">
        <f t="shared" si="27"/>
        <v/>
      </c>
      <c r="BC59" s="292" t="str">
        <f t="shared" si="28"/>
        <v/>
      </c>
      <c r="BD59" s="290" t="str">
        <f t="shared" si="29"/>
        <v/>
      </c>
      <c r="BF59" s="296" t="str">
        <f>IF($E$11=67,(C59/1000),"")</f>
        <v/>
      </c>
      <c r="BG59" s="267" t="str">
        <f t="shared" si="30"/>
        <v/>
      </c>
      <c r="BH59" s="275" t="str">
        <f t="shared" si="31"/>
        <v/>
      </c>
      <c r="BI59" s="292" t="str">
        <f t="shared" si="32"/>
        <v/>
      </c>
      <c r="BJ59" s="55" t="str">
        <f t="shared" si="33"/>
        <v/>
      </c>
    </row>
    <row r="60" spans="1:62" ht="13.5" customHeight="1" thickBot="1" x14ac:dyDescent="0.3">
      <c r="A60" s="34" t="b">
        <f t="shared" si="6"/>
        <v>0</v>
      </c>
      <c r="B60" s="61">
        <f>COMPOSITTIONS!A47</f>
        <v>68</v>
      </c>
      <c r="C60" s="282">
        <f>COMPOSITTIONS!B47</f>
        <v>29</v>
      </c>
      <c r="D60" s="284" t="str">
        <f>COMPOSITTIONS!C47</f>
        <v>Sarrasin</v>
      </c>
      <c r="E60" s="276">
        <f t="shared" si="3"/>
        <v>2.9000000000000001E-2</v>
      </c>
      <c r="F60" s="278" t="e">
        <f>(#REF!+O60+AE60+AJ60+AP60+AV60+BB60+BH60+X60)</f>
        <v>#REF!</v>
      </c>
      <c r="G60" s="271" t="e">
        <f t="shared" si="34"/>
        <v>#REF!</v>
      </c>
      <c r="H60" s="275" t="e">
        <f>(BI60+BC60+AW60+AQ60+AK60+AF60+P60)</f>
        <v>#VALUE!</v>
      </c>
      <c r="I60" s="271" t="e">
        <f t="shared" si="35"/>
        <v>#VALUE!</v>
      </c>
      <c r="J60" s="56"/>
      <c r="K60" s="56"/>
      <c r="L60" s="56"/>
      <c r="M60" s="144">
        <f t="shared" si="8"/>
        <v>2.9000000000000001E-2</v>
      </c>
      <c r="N60" s="58">
        <f>IF($F$3&lt;&gt;"",(HLOOKUP($F$3,COMPOSITTIONS!$D$2:$AA$66,46,FALSE)),#REF!)</f>
        <v>0</v>
      </c>
      <c r="O60" s="54">
        <f t="shared" si="9"/>
        <v>0</v>
      </c>
      <c r="P60" s="54">
        <f>(O60*1000)/M60</f>
        <v>0</v>
      </c>
      <c r="Q60" s="55" t="e">
        <f>IF(P60=#REF!,"0",(P60/$P$16))</f>
        <v>#REF!</v>
      </c>
      <c r="S60" s="173">
        <f>E60</f>
        <v>2.9000000000000001E-2</v>
      </c>
      <c r="T60" s="57" t="e">
        <f ca="1">IF(T60=#REF!,"0",$J$4/T60)</f>
        <v>#DIV/0!</v>
      </c>
      <c r="U60" s="57" t="e">
        <f t="shared" si="10"/>
        <v>#VALUE!</v>
      </c>
      <c r="V60" s="305" t="e">
        <f>IF($E$4&gt;10,HLOOKUP($E$4,COMPOSITTIONS!A:V,4,FALSE),#REF!)</f>
        <v>#N/A</v>
      </c>
      <c r="W60" s="278" t="e">
        <f>IF($F$4&lt;&gt;"",(HLOOKUP($F$4,COMPOSITTIONS!$D$2:$AA$66,46,FALSE)),#REF!)</f>
        <v>#REF!</v>
      </c>
      <c r="X60" s="278" t="e">
        <f t="shared" si="11"/>
        <v>#REF!</v>
      </c>
      <c r="Y60" s="57" t="e">
        <f t="shared" si="4"/>
        <v>#REF!</v>
      </c>
      <c r="Z60" s="55" t="e">
        <f>IF(Y60=#REF!,"0",(Y60/$Y$16))</f>
        <v>#REF!</v>
      </c>
      <c r="AB60" s="303" t="str">
        <f>IF($E$6=68,(C60/1000),"")</f>
        <v/>
      </c>
      <c r="AC60" s="282" t="str">
        <f t="shared" si="12"/>
        <v/>
      </c>
      <c r="AD60" s="278" t="str">
        <f t="shared" si="36"/>
        <v/>
      </c>
      <c r="AE60" s="302" t="str">
        <f t="shared" si="5"/>
        <v/>
      </c>
      <c r="AF60" s="278" t="str">
        <f t="shared" si="13"/>
        <v/>
      </c>
      <c r="AH60" s="303" t="str">
        <f>IF($E$7=68,(C60/1000),"")</f>
        <v/>
      </c>
      <c r="AI60" s="206" t="str">
        <f t="shared" si="14"/>
        <v/>
      </c>
      <c r="AJ60" s="278" t="str">
        <f t="shared" si="15"/>
        <v/>
      </c>
      <c r="AK60" s="302" t="str">
        <f t="shared" si="16"/>
        <v/>
      </c>
      <c r="AL60" s="278" t="str">
        <f t="shared" si="17"/>
        <v/>
      </c>
      <c r="AN60" s="303" t="str">
        <f>IF($E$8=68,(C60/1000),"")</f>
        <v/>
      </c>
      <c r="AO60" s="206" t="str">
        <f t="shared" si="18"/>
        <v/>
      </c>
      <c r="AP60" s="278" t="str">
        <f t="shared" si="19"/>
        <v/>
      </c>
      <c r="AQ60" s="302" t="str">
        <f t="shared" si="20"/>
        <v/>
      </c>
      <c r="AR60" s="278" t="str">
        <f t="shared" si="21"/>
        <v/>
      </c>
      <c r="AT60" s="203" t="str">
        <f>IF($E$9=68,(C60/1000),"")</f>
        <v/>
      </c>
      <c r="AU60" s="268" t="str">
        <f t="shared" si="22"/>
        <v/>
      </c>
      <c r="AV60" s="275" t="str">
        <f t="shared" si="23"/>
        <v/>
      </c>
      <c r="AW60" s="292" t="str">
        <f t="shared" si="24"/>
        <v/>
      </c>
      <c r="AX60" s="290" t="str">
        <f t="shared" si="25"/>
        <v/>
      </c>
      <c r="AZ60" s="203" t="str">
        <f>IF($E$10=68,(C60/1000),"")</f>
        <v/>
      </c>
      <c r="BA60" s="268" t="str">
        <f t="shared" si="26"/>
        <v/>
      </c>
      <c r="BB60" s="275" t="str">
        <f t="shared" si="27"/>
        <v/>
      </c>
      <c r="BC60" s="292" t="str">
        <f t="shared" si="28"/>
        <v/>
      </c>
      <c r="BD60" s="290" t="str">
        <f t="shared" si="29"/>
        <v/>
      </c>
      <c r="BF60" s="296" t="str">
        <f>IF($E$11=68,(C60/1000),"")</f>
        <v/>
      </c>
      <c r="BG60" s="267" t="str">
        <f t="shared" si="30"/>
        <v/>
      </c>
      <c r="BH60" s="275" t="str">
        <f t="shared" si="31"/>
        <v/>
      </c>
      <c r="BI60" s="292" t="str">
        <f t="shared" si="32"/>
        <v/>
      </c>
      <c r="BJ60" s="55" t="str">
        <f t="shared" si="33"/>
        <v/>
      </c>
    </row>
    <row r="61" spans="1:62" ht="13.5" customHeight="1" thickBot="1" x14ac:dyDescent="0.3">
      <c r="A61" s="34" t="b">
        <f t="shared" si="6"/>
        <v>0</v>
      </c>
      <c r="B61" s="61">
        <f>COMPOSITTIONS!A48</f>
        <v>69</v>
      </c>
      <c r="C61" s="282">
        <f>COMPOSITTIONS!B48</f>
        <v>17</v>
      </c>
      <c r="D61" s="284" t="str">
        <f>COMPOSITTIONS!C48</f>
        <v>Seigle forestier</v>
      </c>
      <c r="E61" s="276">
        <f t="shared" si="3"/>
        <v>1.7000000000000001E-2</v>
      </c>
      <c r="F61" s="278" t="e">
        <f>(#REF!+O61+AE61+AJ61+AP61+AV61+BB61+BH61+X61)</f>
        <v>#REF!</v>
      </c>
      <c r="G61" s="271" t="e">
        <f t="shared" si="34"/>
        <v>#REF!</v>
      </c>
      <c r="H61" s="275" t="e">
        <f>(BI61+BC61+AW61+AQ61+AK61+AF61+P61)</f>
        <v>#VALUE!</v>
      </c>
      <c r="I61" s="271" t="e">
        <f t="shared" si="35"/>
        <v>#VALUE!</v>
      </c>
      <c r="J61" s="56"/>
      <c r="K61" s="56"/>
      <c r="L61" s="56"/>
      <c r="M61" s="144">
        <f t="shared" si="8"/>
        <v>1.7000000000000001E-2</v>
      </c>
      <c r="N61" s="58">
        <f>IF($F$3&lt;&gt;"",(HLOOKUP($F$3,COMPOSITTIONS!$D$2:$AA$66,47,FALSE)),#REF!)</f>
        <v>0</v>
      </c>
      <c r="O61" s="54">
        <f t="shared" si="9"/>
        <v>0</v>
      </c>
      <c r="P61" s="54">
        <f>(O61*1000)/M61</f>
        <v>0</v>
      </c>
      <c r="Q61" s="55" t="e">
        <f>IF(P61=#REF!,"0",(P61/$P$16))</f>
        <v>#REF!</v>
      </c>
      <c r="S61" s="173">
        <f>E61</f>
        <v>1.7000000000000001E-2</v>
      </c>
      <c r="T61" s="57" t="e">
        <f ca="1">IF(T61=#REF!,"0",$J$4/T61)</f>
        <v>#DIV/0!</v>
      </c>
      <c r="U61" s="57" t="e">
        <f t="shared" si="10"/>
        <v>#VALUE!</v>
      </c>
      <c r="V61" s="305" t="e">
        <f>IF($E$4&gt;10,HLOOKUP($E$4,COMPOSITTIONS!A:V,4,FALSE),#REF!)</f>
        <v>#N/A</v>
      </c>
      <c r="W61" s="278" t="e">
        <f>IF($F$4&lt;&gt;"",(HLOOKUP($F$4,COMPOSITTIONS!$D$2:$AA$66,47,FALSE)),#REF!)</f>
        <v>#REF!</v>
      </c>
      <c r="X61" s="278" t="e">
        <f t="shared" si="11"/>
        <v>#REF!</v>
      </c>
      <c r="Y61" s="57" t="e">
        <f t="shared" si="4"/>
        <v>#REF!</v>
      </c>
      <c r="Z61" s="55" t="e">
        <f>IF(Y61=#REF!,"0",(Y61/$Y$16))</f>
        <v>#REF!</v>
      </c>
      <c r="AB61" s="303" t="str">
        <f>IF($E$6=69,(C61/1000),"")</f>
        <v/>
      </c>
      <c r="AC61" s="282" t="str">
        <f t="shared" si="12"/>
        <v/>
      </c>
      <c r="AD61" s="278" t="str">
        <f t="shared" si="36"/>
        <v/>
      </c>
      <c r="AE61" s="302" t="str">
        <f t="shared" si="5"/>
        <v/>
      </c>
      <c r="AF61" s="278" t="str">
        <f t="shared" si="13"/>
        <v/>
      </c>
      <c r="AH61" s="303" t="str">
        <f>IF($E$7=69,(C61/1000),"")</f>
        <v/>
      </c>
      <c r="AI61" s="206" t="str">
        <f t="shared" si="14"/>
        <v/>
      </c>
      <c r="AJ61" s="278" t="str">
        <f t="shared" si="15"/>
        <v/>
      </c>
      <c r="AK61" s="302" t="str">
        <f t="shared" si="16"/>
        <v/>
      </c>
      <c r="AL61" s="278" t="str">
        <f t="shared" si="17"/>
        <v/>
      </c>
      <c r="AN61" s="303" t="str">
        <f>IF($E$8=69,(C61/1000),"")</f>
        <v/>
      </c>
      <c r="AO61" s="206" t="str">
        <f t="shared" si="18"/>
        <v/>
      </c>
      <c r="AP61" s="278" t="str">
        <f t="shared" si="19"/>
        <v/>
      </c>
      <c r="AQ61" s="302" t="str">
        <f t="shared" si="20"/>
        <v/>
      </c>
      <c r="AR61" s="278" t="str">
        <f t="shared" si="21"/>
        <v/>
      </c>
      <c r="AT61" s="203" t="str">
        <f>IF($E$9=69,(C61/1000),"")</f>
        <v/>
      </c>
      <c r="AU61" s="268" t="str">
        <f t="shared" si="22"/>
        <v/>
      </c>
      <c r="AV61" s="275" t="str">
        <f t="shared" si="23"/>
        <v/>
      </c>
      <c r="AW61" s="292" t="str">
        <f t="shared" si="24"/>
        <v/>
      </c>
      <c r="AX61" s="290" t="str">
        <f t="shared" si="25"/>
        <v/>
      </c>
      <c r="AZ61" s="203" t="str">
        <f>IF($E$10=69,(C61/1000),"")</f>
        <v/>
      </c>
      <c r="BA61" s="268" t="str">
        <f t="shared" si="26"/>
        <v/>
      </c>
      <c r="BB61" s="275" t="str">
        <f t="shared" si="27"/>
        <v/>
      </c>
      <c r="BC61" s="292" t="str">
        <f t="shared" si="28"/>
        <v/>
      </c>
      <c r="BD61" s="290" t="str">
        <f t="shared" si="29"/>
        <v/>
      </c>
      <c r="BF61" s="296" t="str">
        <f>IF($E$11=69,(C61/1000),"")</f>
        <v/>
      </c>
      <c r="BG61" s="267" t="str">
        <f t="shared" si="30"/>
        <v/>
      </c>
      <c r="BH61" s="275" t="str">
        <f t="shared" si="31"/>
        <v/>
      </c>
      <c r="BI61" s="292" t="str">
        <f t="shared" si="32"/>
        <v/>
      </c>
      <c r="BJ61" s="55" t="str">
        <f t="shared" si="33"/>
        <v/>
      </c>
    </row>
    <row r="62" spans="1:62" ht="13.5" customHeight="1" thickBot="1" x14ac:dyDescent="0.3">
      <c r="A62" s="34" t="b">
        <f t="shared" si="6"/>
        <v>0</v>
      </c>
      <c r="B62" s="61">
        <f>COMPOSITTIONS!A49</f>
        <v>70</v>
      </c>
      <c r="C62" s="282">
        <f>COMPOSITTIONS!B49</f>
        <v>30</v>
      </c>
      <c r="D62" s="284" t="str">
        <f>COMPOSITTIONS!C49</f>
        <v>Seigle fourrager</v>
      </c>
      <c r="E62" s="276">
        <f t="shared" si="3"/>
        <v>0.03</v>
      </c>
      <c r="F62" s="278" t="e">
        <f>(#REF!+O62+AE62+AJ62+AP62+AV62+BB62+BH62+X62)</f>
        <v>#REF!</v>
      </c>
      <c r="G62" s="271" t="e">
        <f t="shared" si="34"/>
        <v>#REF!</v>
      </c>
      <c r="H62" s="275" t="e">
        <f>(BI62+BC62+AW62+AQ62+AK62+AF62+P62)</f>
        <v>#VALUE!</v>
      </c>
      <c r="I62" s="271" t="e">
        <f t="shared" si="35"/>
        <v>#VALUE!</v>
      </c>
      <c r="J62" s="56"/>
      <c r="K62" s="56"/>
      <c r="L62" s="56"/>
      <c r="M62" s="144">
        <f t="shared" si="8"/>
        <v>0.03</v>
      </c>
      <c r="N62" s="58">
        <f>IF($F$3&lt;&gt;"",(HLOOKUP($F$3,COMPOSITTIONS!$D$2:$AA$66,48,FALSE)),#REF!)</f>
        <v>0</v>
      </c>
      <c r="O62" s="54">
        <f t="shared" si="9"/>
        <v>0</v>
      </c>
      <c r="P62" s="54">
        <f>(O62*1000)/M62</f>
        <v>0</v>
      </c>
      <c r="Q62" s="55" t="e">
        <f>IF(P62=#REF!,"0",(P62/$P$16))</f>
        <v>#REF!</v>
      </c>
      <c r="S62" s="173">
        <f>E62</f>
        <v>0.03</v>
      </c>
      <c r="T62" s="57" t="e">
        <f ca="1">IF(T62=#REF!,"0",$J$4/T62)</f>
        <v>#DIV/0!</v>
      </c>
      <c r="U62" s="57" t="e">
        <f t="shared" si="10"/>
        <v>#VALUE!</v>
      </c>
      <c r="V62" s="305" t="e">
        <f>IF($E$4&gt;10,HLOOKUP($E$4,COMPOSITTIONS!A:V,4,FALSE),#REF!)</f>
        <v>#N/A</v>
      </c>
      <c r="W62" s="278" t="e">
        <f>IF($F$4&lt;&gt;"",(HLOOKUP($F$4,COMPOSITTIONS!$D$2:$AA$66,48,FALSE)),#REF!)</f>
        <v>#REF!</v>
      </c>
      <c r="X62" s="278" t="e">
        <f t="shared" si="11"/>
        <v>#REF!</v>
      </c>
      <c r="Y62" s="57" t="e">
        <f t="shared" si="4"/>
        <v>#REF!</v>
      </c>
      <c r="Z62" s="55" t="e">
        <f>IF(Y62=#REF!,"0",(Y62/$Y$16))</f>
        <v>#REF!</v>
      </c>
      <c r="AB62" s="303" t="str">
        <f>IF($E$6=70,(C62/1000),"")</f>
        <v/>
      </c>
      <c r="AC62" s="282" t="str">
        <f t="shared" si="12"/>
        <v/>
      </c>
      <c r="AD62" s="278" t="str">
        <f t="shared" si="36"/>
        <v/>
      </c>
      <c r="AE62" s="302" t="str">
        <f t="shared" si="5"/>
        <v/>
      </c>
      <c r="AF62" s="278" t="str">
        <f t="shared" si="13"/>
        <v/>
      </c>
      <c r="AH62" s="303" t="str">
        <f>IF($E$7=70,(C62/1000),"")</f>
        <v/>
      </c>
      <c r="AI62" s="206" t="str">
        <f t="shared" si="14"/>
        <v/>
      </c>
      <c r="AJ62" s="278" t="str">
        <f t="shared" si="15"/>
        <v/>
      </c>
      <c r="AK62" s="302" t="str">
        <f t="shared" si="16"/>
        <v/>
      </c>
      <c r="AL62" s="278" t="str">
        <f t="shared" si="17"/>
        <v/>
      </c>
      <c r="AN62" s="303" t="str">
        <f>IF($E$8=70,(C62/1000),"")</f>
        <v/>
      </c>
      <c r="AO62" s="206" t="str">
        <f t="shared" si="18"/>
        <v/>
      </c>
      <c r="AP62" s="278" t="str">
        <f t="shared" si="19"/>
        <v/>
      </c>
      <c r="AQ62" s="302" t="str">
        <f t="shared" si="20"/>
        <v/>
      </c>
      <c r="AR62" s="278" t="str">
        <f t="shared" si="21"/>
        <v/>
      </c>
      <c r="AT62" s="203" t="str">
        <f>IF($E$9=70,(C62/1000),"")</f>
        <v/>
      </c>
      <c r="AU62" s="268" t="str">
        <f t="shared" si="22"/>
        <v/>
      </c>
      <c r="AV62" s="275" t="str">
        <f t="shared" si="23"/>
        <v/>
      </c>
      <c r="AW62" s="292" t="str">
        <f t="shared" si="24"/>
        <v/>
      </c>
      <c r="AX62" s="290" t="str">
        <f t="shared" si="25"/>
        <v/>
      </c>
      <c r="AZ62" s="203" t="str">
        <f>IF($E$10=70,(C62/1000),"")</f>
        <v/>
      </c>
      <c r="BA62" s="268" t="str">
        <f t="shared" si="26"/>
        <v/>
      </c>
      <c r="BB62" s="275" t="str">
        <f t="shared" si="27"/>
        <v/>
      </c>
      <c r="BC62" s="292" t="str">
        <f t="shared" si="28"/>
        <v/>
      </c>
      <c r="BD62" s="290" t="str">
        <f t="shared" si="29"/>
        <v/>
      </c>
      <c r="BF62" s="296" t="str">
        <f>IF($E$11=70,(C62/1000),"")</f>
        <v/>
      </c>
      <c r="BG62" s="267" t="str">
        <f t="shared" si="30"/>
        <v/>
      </c>
      <c r="BH62" s="275" t="str">
        <f t="shared" si="31"/>
        <v/>
      </c>
      <c r="BI62" s="292" t="str">
        <f t="shared" si="32"/>
        <v/>
      </c>
      <c r="BJ62" s="55" t="str">
        <f t="shared" si="33"/>
        <v/>
      </c>
    </row>
    <row r="63" spans="1:62" ht="13.5" customHeight="1" thickBot="1" x14ac:dyDescent="0.3">
      <c r="A63" s="34" t="b">
        <f t="shared" si="6"/>
        <v>0</v>
      </c>
      <c r="B63" s="61">
        <f>COMPOSITTIONS!A50</f>
        <v>71</v>
      </c>
      <c r="C63" s="282">
        <f>COMPOSITTIONS!B50</f>
        <v>30</v>
      </c>
      <c r="D63" s="284" t="str">
        <f>COMPOSITTIONS!C50</f>
        <v>Sorgho fourrager</v>
      </c>
      <c r="E63" s="276">
        <f t="shared" si="3"/>
        <v>0.03</v>
      </c>
      <c r="F63" s="278" t="e">
        <f>(#REF!+O63+AE63+AJ63+AP63+AV63+BB63+BH63+X63)</f>
        <v>#REF!</v>
      </c>
      <c r="G63" s="271" t="e">
        <f t="shared" si="34"/>
        <v>#REF!</v>
      </c>
      <c r="H63" s="275" t="e">
        <f>(BI63+BC63+AW63+AQ63+AK63+AF63+P63)</f>
        <v>#VALUE!</v>
      </c>
      <c r="I63" s="271" t="e">
        <f t="shared" si="35"/>
        <v>#VALUE!</v>
      </c>
      <c r="J63" s="56"/>
      <c r="K63" s="56"/>
      <c r="L63" s="56"/>
      <c r="M63" s="144">
        <f t="shared" si="8"/>
        <v>0.03</v>
      </c>
      <c r="N63" s="58">
        <f>IF($F$3&lt;&gt;"",(HLOOKUP($F$3,COMPOSITTIONS!$D$2:$AA$66,49,FALSE)),#REF!)</f>
        <v>0</v>
      </c>
      <c r="O63" s="54">
        <f t="shared" si="9"/>
        <v>0</v>
      </c>
      <c r="P63" s="54">
        <f>(O63*1000)/M63</f>
        <v>0</v>
      </c>
      <c r="Q63" s="55" t="e">
        <f>IF(P63=#REF!,"0",(P63/$P$16))</f>
        <v>#REF!</v>
      </c>
      <c r="S63" s="173">
        <f>E63</f>
        <v>0.03</v>
      </c>
      <c r="T63" s="57" t="e">
        <f ca="1">IF(T63=#REF!,"0",$J$4/T63)</f>
        <v>#DIV/0!</v>
      </c>
      <c r="U63" s="57" t="e">
        <f t="shared" si="10"/>
        <v>#VALUE!</v>
      </c>
      <c r="V63" s="305" t="e">
        <f>IF($E$4&gt;10,HLOOKUP($E$4,COMPOSITTIONS!A:V,4,FALSE),#REF!)</f>
        <v>#N/A</v>
      </c>
      <c r="W63" s="278" t="e">
        <f>IF($F$4&lt;&gt;"",(HLOOKUP($F$4,COMPOSITTIONS!$D$2:$AA$66,49,FALSE)),#REF!)</f>
        <v>#REF!</v>
      </c>
      <c r="X63" s="278" t="e">
        <f t="shared" si="11"/>
        <v>#REF!</v>
      </c>
      <c r="Y63" s="57" t="e">
        <f t="shared" si="4"/>
        <v>#REF!</v>
      </c>
      <c r="Z63" s="55" t="e">
        <f>IF(Y63=#REF!,"0",(Y63/$Y$16))</f>
        <v>#REF!</v>
      </c>
      <c r="AB63" s="303" t="str">
        <f>IF($E$6=71,(C63/1000),"")</f>
        <v/>
      </c>
      <c r="AC63" s="282" t="str">
        <f t="shared" si="12"/>
        <v/>
      </c>
      <c r="AD63" s="278" t="str">
        <f t="shared" si="36"/>
        <v/>
      </c>
      <c r="AE63" s="302" t="str">
        <f t="shared" si="5"/>
        <v/>
      </c>
      <c r="AF63" s="278" t="str">
        <f t="shared" si="13"/>
        <v/>
      </c>
      <c r="AH63" s="303" t="str">
        <f>IF($E$7=70,(C63/1000),"")</f>
        <v/>
      </c>
      <c r="AI63" s="206" t="str">
        <f t="shared" si="14"/>
        <v/>
      </c>
      <c r="AJ63" s="278" t="str">
        <f t="shared" si="15"/>
        <v/>
      </c>
      <c r="AK63" s="302" t="str">
        <f t="shared" si="16"/>
        <v/>
      </c>
      <c r="AL63" s="278" t="str">
        <f t="shared" si="17"/>
        <v/>
      </c>
      <c r="AN63" s="303" t="str">
        <f>IF($E$8=71,(C63/1000),"")</f>
        <v/>
      </c>
      <c r="AO63" s="206" t="str">
        <f t="shared" si="18"/>
        <v/>
      </c>
      <c r="AP63" s="278" t="str">
        <f t="shared" si="19"/>
        <v/>
      </c>
      <c r="AQ63" s="302" t="str">
        <f t="shared" si="20"/>
        <v/>
      </c>
      <c r="AR63" s="278" t="str">
        <f t="shared" si="21"/>
        <v/>
      </c>
      <c r="AT63" s="203" t="str">
        <f>IF($E$9=71,(C63/1000),"")</f>
        <v/>
      </c>
      <c r="AU63" s="268" t="str">
        <f t="shared" si="22"/>
        <v/>
      </c>
      <c r="AV63" s="275" t="str">
        <f t="shared" si="23"/>
        <v/>
      </c>
      <c r="AW63" s="292" t="str">
        <f t="shared" si="24"/>
        <v/>
      </c>
      <c r="AX63" s="290" t="str">
        <f t="shared" si="25"/>
        <v/>
      </c>
      <c r="AZ63" s="203" t="str">
        <f>IF($E$10=71,(C63/1000),"")</f>
        <v/>
      </c>
      <c r="BA63" s="268" t="str">
        <f t="shared" si="26"/>
        <v/>
      </c>
      <c r="BB63" s="275" t="str">
        <f t="shared" si="27"/>
        <v/>
      </c>
      <c r="BC63" s="292" t="str">
        <f t="shared" si="28"/>
        <v/>
      </c>
      <c r="BD63" s="290" t="str">
        <f t="shared" si="29"/>
        <v/>
      </c>
      <c r="BF63" s="296" t="str">
        <f>IF($E$11=71,(C63/1000),"")</f>
        <v/>
      </c>
      <c r="BG63" s="267" t="str">
        <f t="shared" si="30"/>
        <v/>
      </c>
      <c r="BH63" s="275" t="str">
        <f t="shared" si="31"/>
        <v/>
      </c>
      <c r="BI63" s="292" t="str">
        <f t="shared" si="32"/>
        <v/>
      </c>
      <c r="BJ63" s="55" t="str">
        <f t="shared" si="33"/>
        <v/>
      </c>
    </row>
    <row r="64" spans="1:62" ht="13.5" customHeight="1" thickBot="1" x14ac:dyDescent="0.3">
      <c r="A64" s="34" t="b">
        <f t="shared" si="6"/>
        <v>0</v>
      </c>
      <c r="B64" s="61">
        <f>COMPOSITTIONS!A51</f>
        <v>72</v>
      </c>
      <c r="C64" s="282">
        <f>COMPOSITTIONS!B51</f>
        <v>47</v>
      </c>
      <c r="D64" s="284" t="str">
        <f>COMPOSITTIONS!C51</f>
        <v>Tournesol</v>
      </c>
      <c r="E64" s="276">
        <f t="shared" si="3"/>
        <v>4.7E-2</v>
      </c>
      <c r="F64" s="278" t="e">
        <f>(#REF!+O64+AE64+AJ64+AP64+AV64+BB64+BH64+X64)</f>
        <v>#REF!</v>
      </c>
      <c r="G64" s="271" t="e">
        <f t="shared" si="34"/>
        <v>#REF!</v>
      </c>
      <c r="H64" s="275" t="e">
        <f>(BI64+BC64+AW64+AQ64+AK64+AF64+P64)</f>
        <v>#VALUE!</v>
      </c>
      <c r="I64" s="271" t="e">
        <f t="shared" si="35"/>
        <v>#VALUE!</v>
      </c>
      <c r="J64" s="56"/>
      <c r="K64" s="56"/>
      <c r="L64" s="56"/>
      <c r="M64" s="144">
        <f t="shared" si="8"/>
        <v>4.7E-2</v>
      </c>
      <c r="N64" s="58">
        <f>IF($F$3&lt;&gt;"",(HLOOKUP($F$3,COMPOSITTIONS!$D$2:$AA$66,50,FALSE)),#REF!)</f>
        <v>0</v>
      </c>
      <c r="O64" s="54">
        <f t="shared" si="9"/>
        <v>0</v>
      </c>
      <c r="P64" s="54">
        <f>(O64*1000)/M64</f>
        <v>0</v>
      </c>
      <c r="Q64" s="55" t="e">
        <f>IF(P64=#REF!,"0",(P64/$P$16))</f>
        <v>#REF!</v>
      </c>
      <c r="S64" s="173">
        <f>E64</f>
        <v>4.7E-2</v>
      </c>
      <c r="T64" s="57" t="e">
        <f ca="1">IF(T64=#REF!,"0",$J$4/T64)</f>
        <v>#DIV/0!</v>
      </c>
      <c r="U64" s="57" t="e">
        <f t="shared" si="10"/>
        <v>#VALUE!</v>
      </c>
      <c r="V64" s="305" t="e">
        <f>IF($E$4&gt;10,HLOOKUP($E$4,COMPOSITTIONS!A:V,4,FALSE),#REF!)</f>
        <v>#N/A</v>
      </c>
      <c r="W64" s="278" t="e">
        <f>IF($F$4&lt;&gt;"",(HLOOKUP($F$4,COMPOSITTIONS!$D$2:$AA$66,50,FALSE)),#REF!)</f>
        <v>#REF!</v>
      </c>
      <c r="X64" s="278" t="e">
        <f t="shared" si="11"/>
        <v>#REF!</v>
      </c>
      <c r="Y64" s="57" t="e">
        <f t="shared" si="4"/>
        <v>#REF!</v>
      </c>
      <c r="Z64" s="55" t="e">
        <f>IF(Y64=#REF!,"0",(Y64/$Y$16))</f>
        <v>#REF!</v>
      </c>
      <c r="AB64" s="303" t="str">
        <f>IF($E$6=72,(C64/1000),"")</f>
        <v/>
      </c>
      <c r="AC64" s="282" t="str">
        <f t="shared" si="12"/>
        <v/>
      </c>
      <c r="AD64" s="278" t="str">
        <f t="shared" si="36"/>
        <v/>
      </c>
      <c r="AE64" s="302" t="str">
        <f t="shared" si="5"/>
        <v/>
      </c>
      <c r="AF64" s="278" t="str">
        <f t="shared" si="13"/>
        <v/>
      </c>
      <c r="AH64" s="303" t="str">
        <f>IF($E$7=72,(C64/1000),"")</f>
        <v/>
      </c>
      <c r="AI64" s="206" t="str">
        <f t="shared" si="14"/>
        <v/>
      </c>
      <c r="AJ64" s="278" t="str">
        <f t="shared" si="15"/>
        <v/>
      </c>
      <c r="AK64" s="302" t="str">
        <f t="shared" si="16"/>
        <v/>
      </c>
      <c r="AL64" s="278" t="str">
        <f t="shared" si="17"/>
        <v/>
      </c>
      <c r="AN64" s="303" t="str">
        <f>IF($E$8=72,(C64/1000),"")</f>
        <v/>
      </c>
      <c r="AO64" s="206" t="str">
        <f t="shared" si="18"/>
        <v/>
      </c>
      <c r="AP64" s="278" t="str">
        <f t="shared" si="19"/>
        <v/>
      </c>
      <c r="AQ64" s="302" t="str">
        <f t="shared" si="20"/>
        <v/>
      </c>
      <c r="AR64" s="278" t="str">
        <f t="shared" si="21"/>
        <v/>
      </c>
      <c r="AT64" s="203" t="str">
        <f>IF($E$9=72,(C64/1000),"")</f>
        <v/>
      </c>
      <c r="AU64" s="268" t="str">
        <f t="shared" si="22"/>
        <v/>
      </c>
      <c r="AV64" s="275" t="str">
        <f t="shared" si="23"/>
        <v/>
      </c>
      <c r="AW64" s="292" t="str">
        <f t="shared" si="24"/>
        <v/>
      </c>
      <c r="AX64" s="290" t="str">
        <f t="shared" si="25"/>
        <v/>
      </c>
      <c r="AZ64" s="203" t="str">
        <f>IF($E$10=72,(C64/1000),"")</f>
        <v/>
      </c>
      <c r="BA64" s="268" t="str">
        <f t="shared" si="26"/>
        <v/>
      </c>
      <c r="BB64" s="275" t="str">
        <f t="shared" si="27"/>
        <v/>
      </c>
      <c r="BC64" s="292" t="str">
        <f t="shared" si="28"/>
        <v/>
      </c>
      <c r="BD64" s="290" t="str">
        <f t="shared" si="29"/>
        <v/>
      </c>
      <c r="BF64" s="296" t="str">
        <f>IF($E$11=72,(C64/1000),"")</f>
        <v/>
      </c>
      <c r="BG64" s="267" t="str">
        <f t="shared" si="30"/>
        <v/>
      </c>
      <c r="BH64" s="275" t="str">
        <f t="shared" si="31"/>
        <v/>
      </c>
      <c r="BI64" s="292" t="str">
        <f t="shared" si="32"/>
        <v/>
      </c>
      <c r="BJ64" s="55" t="str">
        <f t="shared" si="33"/>
        <v/>
      </c>
    </row>
    <row r="65" spans="1:83" ht="13.5" customHeight="1" thickBot="1" x14ac:dyDescent="0.3">
      <c r="A65" s="34" t="b">
        <f t="shared" si="6"/>
        <v>0</v>
      </c>
      <c r="B65" s="61">
        <f>COMPOSITTIONS!A52</f>
        <v>73</v>
      </c>
      <c r="C65" s="282">
        <f>COMPOSITTIONS!B52</f>
        <v>0.9</v>
      </c>
      <c r="D65" s="284" t="str">
        <f>COMPOSITTIONS!C52</f>
        <v>Trèfle blanc géant</v>
      </c>
      <c r="E65" s="276">
        <f t="shared" si="3"/>
        <v>8.9999999999999998E-4</v>
      </c>
      <c r="F65" s="278" t="e">
        <f>(#REF!+O65+AE65+AJ65+AP65+AV65+BB65+BH65+X65)</f>
        <v>#REF!</v>
      </c>
      <c r="G65" s="271" t="e">
        <f t="shared" si="34"/>
        <v>#REF!</v>
      </c>
      <c r="H65" s="275" t="e">
        <f>(BI65+BC65+AW65+AQ65+AK65+AF65+P65)</f>
        <v>#VALUE!</v>
      </c>
      <c r="I65" s="271" t="e">
        <f t="shared" si="35"/>
        <v>#VALUE!</v>
      </c>
      <c r="J65" s="56"/>
      <c r="K65" s="56"/>
      <c r="L65" s="56"/>
      <c r="M65" s="144">
        <f t="shared" si="8"/>
        <v>8.9999999999999998E-4</v>
      </c>
      <c r="N65" s="58">
        <f>IF($F$3&lt;&gt;"",(HLOOKUP($F$3,COMPOSITTIONS!$D$2:$AA$66,51,FALSE)),#REF!)</f>
        <v>5</v>
      </c>
      <c r="O65" s="54">
        <f t="shared" si="9"/>
        <v>0.25</v>
      </c>
      <c r="P65" s="54">
        <f>(O65*1000)/M65</f>
        <v>277777.77777777781</v>
      </c>
      <c r="Q65" s="55" t="e">
        <f>IF(P65=#REF!,"0",(P65/$P$16))</f>
        <v>#REF!</v>
      </c>
      <c r="S65" s="173">
        <f>E65</f>
        <v>8.9999999999999998E-4</v>
      </c>
      <c r="T65" s="57" t="e">
        <f ca="1">IF(T65=#REF!,"0",$J$4/T65)</f>
        <v>#DIV/0!</v>
      </c>
      <c r="U65" s="57" t="e">
        <f t="shared" si="10"/>
        <v>#VALUE!</v>
      </c>
      <c r="V65" s="305" t="e">
        <f>IF($E$4&gt;10,HLOOKUP($E$4,COMPOSITTIONS!A:V,4,FALSE),#REF!)</f>
        <v>#N/A</v>
      </c>
      <c r="W65" s="278" t="e">
        <f>IF($F$4&lt;&gt;"",(HLOOKUP($F$4,COMPOSITTIONS!$D$2:$AA$66,51,FALSE)),#REF!)</f>
        <v>#REF!</v>
      </c>
      <c r="X65" s="278" t="e">
        <f t="shared" si="11"/>
        <v>#REF!</v>
      </c>
      <c r="Y65" s="57" t="e">
        <f t="shared" si="4"/>
        <v>#REF!</v>
      </c>
      <c r="Z65" s="55" t="e">
        <f>IF(Y65=#REF!,"0",(Y65/$Y$16))</f>
        <v>#REF!</v>
      </c>
      <c r="AB65" s="303" t="str">
        <f>IF($E$6=73,(C65/1000),"")</f>
        <v/>
      </c>
      <c r="AC65" s="282" t="str">
        <f t="shared" si="12"/>
        <v/>
      </c>
      <c r="AD65" s="278" t="str">
        <f t="shared" si="36"/>
        <v/>
      </c>
      <c r="AE65" s="302" t="str">
        <f t="shared" si="5"/>
        <v/>
      </c>
      <c r="AF65" s="278" t="str">
        <f t="shared" si="13"/>
        <v/>
      </c>
      <c r="AH65" s="303" t="str">
        <f>IF($E$7=73,(C65/1000),"")</f>
        <v/>
      </c>
      <c r="AI65" s="206" t="str">
        <f t="shared" si="14"/>
        <v/>
      </c>
      <c r="AJ65" s="278" t="str">
        <f t="shared" si="15"/>
        <v/>
      </c>
      <c r="AK65" s="302" t="str">
        <f t="shared" si="16"/>
        <v/>
      </c>
      <c r="AL65" s="278" t="str">
        <f t="shared" si="17"/>
        <v/>
      </c>
      <c r="AN65" s="303" t="str">
        <f>IF($E$8=73,(C65/1000),"")</f>
        <v/>
      </c>
      <c r="AO65" s="206" t="str">
        <f t="shared" si="18"/>
        <v/>
      </c>
      <c r="AP65" s="278" t="str">
        <f t="shared" si="19"/>
        <v/>
      </c>
      <c r="AQ65" s="302" t="str">
        <f t="shared" si="20"/>
        <v/>
      </c>
      <c r="AR65" s="278" t="str">
        <f t="shared" si="21"/>
        <v/>
      </c>
      <c r="AT65" s="203" t="str">
        <f>IF($E$9=73,(C65/1000),"")</f>
        <v/>
      </c>
      <c r="AU65" s="268" t="str">
        <f t="shared" si="22"/>
        <v/>
      </c>
      <c r="AV65" s="275" t="str">
        <f t="shared" si="23"/>
        <v/>
      </c>
      <c r="AW65" s="292" t="str">
        <f t="shared" si="24"/>
        <v/>
      </c>
      <c r="AX65" s="290" t="str">
        <f t="shared" si="25"/>
        <v/>
      </c>
      <c r="AZ65" s="203" t="str">
        <f>IF($E$10=73,(C65/1000),"")</f>
        <v/>
      </c>
      <c r="BA65" s="268" t="str">
        <f t="shared" si="26"/>
        <v/>
      </c>
      <c r="BB65" s="275" t="str">
        <f t="shared" si="27"/>
        <v/>
      </c>
      <c r="BC65" s="292" t="str">
        <f t="shared" si="28"/>
        <v/>
      </c>
      <c r="BD65" s="290" t="str">
        <f t="shared" si="29"/>
        <v/>
      </c>
      <c r="BF65" s="296" t="str">
        <f>IF($E$11=73,(C65/1000),"")</f>
        <v/>
      </c>
      <c r="BG65" s="267" t="str">
        <f t="shared" si="30"/>
        <v/>
      </c>
      <c r="BH65" s="275" t="str">
        <f t="shared" si="31"/>
        <v/>
      </c>
      <c r="BI65" s="292" t="str">
        <f t="shared" si="32"/>
        <v/>
      </c>
      <c r="BJ65" s="55" t="str">
        <f t="shared" si="33"/>
        <v/>
      </c>
    </row>
    <row r="66" spans="1:83" ht="13.5" customHeight="1" thickBot="1" x14ac:dyDescent="0.3">
      <c r="A66" s="34" t="b">
        <f t="shared" si="6"/>
        <v>0</v>
      </c>
      <c r="B66" s="61">
        <f>COMPOSITTIONS!A53</f>
        <v>74</v>
      </c>
      <c r="C66" s="282">
        <f>COMPOSITTIONS!B53</f>
        <v>0.8</v>
      </c>
      <c r="D66" s="284" t="str">
        <f>COMPOSITTIONS!C53</f>
        <v>Trèfle blanc ladino</v>
      </c>
      <c r="E66" s="276">
        <f t="shared" si="3"/>
        <v>8.0000000000000004E-4</v>
      </c>
      <c r="F66" s="278" t="e">
        <f>(#REF!+O66+AE66+AJ66+AP66+AV66+BB66+BH66+X66)</f>
        <v>#REF!</v>
      </c>
      <c r="G66" s="271" t="e">
        <f t="shared" si="34"/>
        <v>#REF!</v>
      </c>
      <c r="H66" s="275" t="e">
        <f>(BI66+BC66+AW66+AQ66+AK66+AF66+P66)</f>
        <v>#VALUE!</v>
      </c>
      <c r="I66" s="271" t="e">
        <f t="shared" si="35"/>
        <v>#VALUE!</v>
      </c>
      <c r="J66" s="56"/>
      <c r="K66" s="56"/>
      <c r="L66" s="56"/>
      <c r="M66" s="144">
        <f t="shared" si="8"/>
        <v>8.0000000000000004E-4</v>
      </c>
      <c r="N66" s="58">
        <f>IF($F$3&lt;&gt;"",(HLOOKUP($F$3,COMPOSITTIONS!$D$2:$AA$66,52,FALSE)),#REF!)</f>
        <v>0</v>
      </c>
      <c r="O66" s="54">
        <f t="shared" si="9"/>
        <v>0</v>
      </c>
      <c r="P66" s="54">
        <f>(O66*1000)/M66</f>
        <v>0</v>
      </c>
      <c r="Q66" s="55" t="e">
        <f>IF(P66=#REF!,"0",(P66/$P$16))</f>
        <v>#REF!</v>
      </c>
      <c r="S66" s="173">
        <f>E66</f>
        <v>8.0000000000000004E-4</v>
      </c>
      <c r="T66" s="57" t="e">
        <f ca="1">IF(T66=#REF!,"0",$J$4/T66)</f>
        <v>#DIV/0!</v>
      </c>
      <c r="U66" s="57" t="e">
        <f t="shared" si="10"/>
        <v>#VALUE!</v>
      </c>
      <c r="V66" s="305" t="e">
        <f>IF($E$4&gt;10,HLOOKUP($E$4,COMPOSITTIONS!A:V,4,FALSE),#REF!)</f>
        <v>#N/A</v>
      </c>
      <c r="W66" s="278" t="e">
        <f>IF($F$4&lt;&gt;"",(HLOOKUP($F$4,COMPOSITTIONS!$D$2:$AA$66,52,FALSE)),#REF!)</f>
        <v>#REF!</v>
      </c>
      <c r="X66" s="278" t="e">
        <f t="shared" si="11"/>
        <v>#REF!</v>
      </c>
      <c r="Y66" s="57" t="e">
        <f t="shared" si="4"/>
        <v>#REF!</v>
      </c>
      <c r="Z66" s="55" t="e">
        <f>IF(Y66=#REF!,"0",(Y66/$Y$16))</f>
        <v>#REF!</v>
      </c>
      <c r="AB66" s="303" t="str">
        <f>IF($E$6=74,(C66/1000),"")</f>
        <v/>
      </c>
      <c r="AC66" s="282" t="str">
        <f t="shared" si="12"/>
        <v/>
      </c>
      <c r="AD66" s="278" t="str">
        <f t="shared" si="36"/>
        <v/>
      </c>
      <c r="AE66" s="302" t="str">
        <f t="shared" si="5"/>
        <v/>
      </c>
      <c r="AF66" s="278" t="str">
        <f t="shared" si="13"/>
        <v/>
      </c>
      <c r="AH66" s="303" t="str">
        <f>IF($E$7=74,(C66/1000),"")</f>
        <v/>
      </c>
      <c r="AI66" s="206" t="str">
        <f t="shared" si="14"/>
        <v/>
      </c>
      <c r="AJ66" s="278" t="str">
        <f t="shared" si="15"/>
        <v/>
      </c>
      <c r="AK66" s="302" t="str">
        <f t="shared" si="16"/>
        <v/>
      </c>
      <c r="AL66" s="278" t="str">
        <f t="shared" si="17"/>
        <v/>
      </c>
      <c r="AN66" s="303" t="str">
        <f>IF($E$8=74,(C66/1000),"")</f>
        <v/>
      </c>
      <c r="AO66" s="206" t="str">
        <f t="shared" si="18"/>
        <v/>
      </c>
      <c r="AP66" s="278" t="str">
        <f t="shared" si="19"/>
        <v/>
      </c>
      <c r="AQ66" s="302" t="str">
        <f t="shared" si="20"/>
        <v/>
      </c>
      <c r="AR66" s="278" t="str">
        <f t="shared" si="21"/>
        <v/>
      </c>
      <c r="AT66" s="203" t="str">
        <f>IF($E$9=74,(C66/1000),"")</f>
        <v/>
      </c>
      <c r="AU66" s="268" t="str">
        <f t="shared" si="22"/>
        <v/>
      </c>
      <c r="AV66" s="275" t="str">
        <f t="shared" si="23"/>
        <v/>
      </c>
      <c r="AW66" s="292" t="str">
        <f t="shared" si="24"/>
        <v/>
      </c>
      <c r="AX66" s="290" t="str">
        <f t="shared" si="25"/>
        <v/>
      </c>
      <c r="AZ66" s="203" t="str">
        <f>IF($E$10=74,(C66/1000),"")</f>
        <v/>
      </c>
      <c r="BA66" s="268" t="str">
        <f t="shared" si="26"/>
        <v/>
      </c>
      <c r="BB66" s="275" t="str">
        <f t="shared" si="27"/>
        <v/>
      </c>
      <c r="BC66" s="292" t="str">
        <f t="shared" si="28"/>
        <v/>
      </c>
      <c r="BD66" s="290" t="str">
        <f t="shared" si="29"/>
        <v/>
      </c>
      <c r="BF66" s="296" t="str">
        <f>IF($E$11=74,(C66/1000),"")</f>
        <v/>
      </c>
      <c r="BG66" s="267" t="str">
        <f t="shared" si="30"/>
        <v/>
      </c>
      <c r="BH66" s="275" t="str">
        <f t="shared" si="31"/>
        <v/>
      </c>
      <c r="BI66" s="292" t="str">
        <f t="shared" si="32"/>
        <v/>
      </c>
      <c r="BJ66" s="55" t="str">
        <f t="shared" si="33"/>
        <v/>
      </c>
    </row>
    <row r="67" spans="1:83" ht="13.5" customHeight="1" thickBot="1" x14ac:dyDescent="0.3">
      <c r="A67" s="34" t="b">
        <f t="shared" si="6"/>
        <v>0</v>
      </c>
      <c r="B67" s="61">
        <f>COMPOSITTIONS!A54</f>
        <v>75</v>
      </c>
      <c r="C67" s="282">
        <f>COMPOSITTIONS!B54</f>
        <v>0.6</v>
      </c>
      <c r="D67" s="284" t="str">
        <f>COMPOSITTIONS!C54</f>
        <v>Trèfle blanc nain</v>
      </c>
      <c r="E67" s="276">
        <f t="shared" si="3"/>
        <v>5.9999999999999995E-4</v>
      </c>
      <c r="F67" s="278" t="e">
        <f>(#REF!+O67+AE67+AJ67+AP67+AV67+BB67+BH67+X67)</f>
        <v>#REF!</v>
      </c>
      <c r="G67" s="271" t="e">
        <f t="shared" si="34"/>
        <v>#REF!</v>
      </c>
      <c r="H67" s="275" t="e">
        <f>(BI67+BC67+AW67+AQ67+AK67+AF67+P67)</f>
        <v>#VALUE!</v>
      </c>
      <c r="I67" s="271" t="e">
        <f t="shared" si="35"/>
        <v>#VALUE!</v>
      </c>
      <c r="J67" s="56"/>
      <c r="K67" s="56"/>
      <c r="L67" s="56"/>
      <c r="M67" s="144">
        <f t="shared" si="8"/>
        <v>5.9999999999999995E-4</v>
      </c>
      <c r="N67" s="58">
        <f>IF($F$3&lt;&gt;"",(HLOOKUP($F$3,COMPOSITTIONS!$D$2:$AA$66,53,FALSE)),#REF!)</f>
        <v>5</v>
      </c>
      <c r="O67" s="54">
        <f t="shared" si="9"/>
        <v>0.25</v>
      </c>
      <c r="P67" s="54">
        <f>(O67*1000)/M67</f>
        <v>416666.66666666669</v>
      </c>
      <c r="Q67" s="55" t="e">
        <f>IF(P67=#REF!,"0",(P67/$P$16))</f>
        <v>#REF!</v>
      </c>
      <c r="S67" s="173">
        <f>E67</f>
        <v>5.9999999999999995E-4</v>
      </c>
      <c r="T67" s="57" t="e">
        <f ca="1">IF(T67=#REF!,"0",$J$4/T67)</f>
        <v>#DIV/0!</v>
      </c>
      <c r="U67" s="57" t="e">
        <f t="shared" si="10"/>
        <v>#VALUE!</v>
      </c>
      <c r="V67" s="305" t="e">
        <f>IF($E$4&gt;10,HLOOKUP($E$4,COMPOSITTIONS!A:V,4,FALSE),#REF!)</f>
        <v>#N/A</v>
      </c>
      <c r="W67" s="278" t="e">
        <f>IF($F$4&lt;&gt;"",(HLOOKUP($F$4,COMPOSITTIONS!$D$2:$AA$66,53,FALSE)),#REF!)</f>
        <v>#REF!</v>
      </c>
      <c r="X67" s="278" t="e">
        <f t="shared" si="11"/>
        <v>#REF!</v>
      </c>
      <c r="Y67" s="57" t="e">
        <f t="shared" si="4"/>
        <v>#REF!</v>
      </c>
      <c r="Z67" s="55" t="e">
        <f>IF(Y67=#REF!,"0",(Y67/$Y$16))</f>
        <v>#REF!</v>
      </c>
      <c r="AB67" s="303" t="str">
        <f>IF($E$6=75,(C67/1000),"")</f>
        <v/>
      </c>
      <c r="AC67" s="282" t="str">
        <f t="shared" si="12"/>
        <v/>
      </c>
      <c r="AD67" s="278" t="str">
        <f t="shared" si="36"/>
        <v/>
      </c>
      <c r="AE67" s="302" t="str">
        <f t="shared" si="5"/>
        <v/>
      </c>
      <c r="AF67" s="278" t="str">
        <f t="shared" si="13"/>
        <v/>
      </c>
      <c r="AH67" s="303" t="str">
        <f>IF($E$7=75,(C67/1000),"")</f>
        <v/>
      </c>
      <c r="AI67" s="206" t="str">
        <f t="shared" si="14"/>
        <v/>
      </c>
      <c r="AJ67" s="278" t="str">
        <f t="shared" si="15"/>
        <v/>
      </c>
      <c r="AK67" s="302" t="str">
        <f t="shared" si="16"/>
        <v/>
      </c>
      <c r="AL67" s="278" t="str">
        <f t="shared" si="17"/>
        <v/>
      </c>
      <c r="AN67" s="303" t="str">
        <f>IF($E$8=75,(C67/1000),"")</f>
        <v/>
      </c>
      <c r="AO67" s="206" t="str">
        <f t="shared" si="18"/>
        <v/>
      </c>
      <c r="AP67" s="278" t="str">
        <f t="shared" si="19"/>
        <v/>
      </c>
      <c r="AQ67" s="302" t="str">
        <f t="shared" si="20"/>
        <v/>
      </c>
      <c r="AR67" s="278" t="str">
        <f t="shared" si="21"/>
        <v/>
      </c>
      <c r="AT67" s="203" t="str">
        <f>IF($E$9=75,(C67/1000),"")</f>
        <v/>
      </c>
      <c r="AU67" s="268" t="str">
        <f t="shared" si="22"/>
        <v/>
      </c>
      <c r="AV67" s="275" t="str">
        <f t="shared" si="23"/>
        <v/>
      </c>
      <c r="AW67" s="292" t="str">
        <f t="shared" si="24"/>
        <v/>
      </c>
      <c r="AX67" s="290" t="str">
        <f t="shared" si="25"/>
        <v/>
      </c>
      <c r="AZ67" s="203" t="str">
        <f>IF($E$10=75,(C67/1000),"")</f>
        <v/>
      </c>
      <c r="BA67" s="268" t="str">
        <f t="shared" si="26"/>
        <v/>
      </c>
      <c r="BB67" s="275" t="str">
        <f t="shared" si="27"/>
        <v/>
      </c>
      <c r="BC67" s="292" t="str">
        <f t="shared" si="28"/>
        <v/>
      </c>
      <c r="BD67" s="290" t="str">
        <f t="shared" si="29"/>
        <v/>
      </c>
      <c r="BF67" s="296" t="str">
        <f>IF($E$11=75,(C67/1000),"")</f>
        <v/>
      </c>
      <c r="BG67" s="267" t="str">
        <f t="shared" si="30"/>
        <v/>
      </c>
      <c r="BH67" s="275" t="str">
        <f t="shared" si="31"/>
        <v/>
      </c>
      <c r="BI67" s="292" t="str">
        <f t="shared" si="32"/>
        <v/>
      </c>
      <c r="BJ67" s="55" t="str">
        <f t="shared" si="33"/>
        <v/>
      </c>
    </row>
    <row r="68" spans="1:83" ht="13.5" customHeight="1" thickBot="1" x14ac:dyDescent="0.3">
      <c r="A68" s="34" t="b">
        <f t="shared" si="6"/>
        <v>0</v>
      </c>
      <c r="B68" s="61">
        <f>COMPOSITTIONS!A55</f>
        <v>76</v>
      </c>
      <c r="C68" s="282">
        <f>COMPOSITTIONS!B55</f>
        <v>2.9</v>
      </c>
      <c r="D68" s="284" t="str">
        <f>COMPOSITTIONS!C55</f>
        <v>Trèfle d'alexandrie</v>
      </c>
      <c r="E68" s="276">
        <f t="shared" si="3"/>
        <v>2.8999999999999998E-3</v>
      </c>
      <c r="F68" s="278" t="e">
        <f>(#REF!+O68+AE68+AJ68+AP68+AV68+BB68+BH68+X68)</f>
        <v>#REF!</v>
      </c>
      <c r="G68" s="271" t="e">
        <f t="shared" si="34"/>
        <v>#REF!</v>
      </c>
      <c r="H68" s="275" t="e">
        <f>(BI68+BC68+AW68+AQ68+AK68+AF68+P68)</f>
        <v>#VALUE!</v>
      </c>
      <c r="I68" s="271" t="e">
        <f t="shared" si="35"/>
        <v>#VALUE!</v>
      </c>
      <c r="J68" s="56"/>
      <c r="K68" s="56"/>
      <c r="L68" s="56"/>
      <c r="M68" s="144">
        <f t="shared" si="8"/>
        <v>2.8999999999999998E-3</v>
      </c>
      <c r="N68" s="58">
        <f>IF($F$3&lt;&gt;"",(HLOOKUP($F$3,COMPOSITTIONS!$D$2:$AA$66,54,FALSE)),#REF!)</f>
        <v>0</v>
      </c>
      <c r="O68" s="54">
        <f t="shared" si="9"/>
        <v>0</v>
      </c>
      <c r="P68" s="54">
        <f>(O68*1000)/M68</f>
        <v>0</v>
      </c>
      <c r="Q68" s="55" t="e">
        <f>IF(P68=#REF!,"0",(P68/$P$16))</f>
        <v>#REF!</v>
      </c>
      <c r="S68" s="173">
        <f>E68</f>
        <v>2.8999999999999998E-3</v>
      </c>
      <c r="T68" s="57" t="e">
        <f ca="1">IF(T68=#REF!,"0",$J$4/T68)</f>
        <v>#DIV/0!</v>
      </c>
      <c r="U68" s="57" t="e">
        <f t="shared" si="10"/>
        <v>#VALUE!</v>
      </c>
      <c r="V68" s="305" t="e">
        <f>IF($E$4&gt;10,HLOOKUP($E$4,COMPOSITTIONS!A:V,4,FALSE),#REF!)</f>
        <v>#N/A</v>
      </c>
      <c r="W68" s="278" t="e">
        <f>IF($F$4&lt;&gt;"",(HLOOKUP($F$4,COMPOSITTIONS!$D$2:$AA$66,54,FALSE)),#REF!)</f>
        <v>#REF!</v>
      </c>
      <c r="X68" s="278" t="e">
        <f t="shared" si="11"/>
        <v>#REF!</v>
      </c>
      <c r="Y68" s="57" t="e">
        <f t="shared" si="4"/>
        <v>#REF!</v>
      </c>
      <c r="Z68" s="55" t="e">
        <f>IF(Y68=#REF!,"0",(Y68/$Y$16))</f>
        <v>#REF!</v>
      </c>
      <c r="AB68" s="303" t="str">
        <f>IF($E$6=76,(C68/1000),"")</f>
        <v/>
      </c>
      <c r="AC68" s="282" t="str">
        <f t="shared" si="12"/>
        <v/>
      </c>
      <c r="AD68" s="278" t="str">
        <f t="shared" si="36"/>
        <v/>
      </c>
      <c r="AE68" s="302" t="str">
        <f t="shared" si="5"/>
        <v/>
      </c>
      <c r="AF68" s="278" t="str">
        <f t="shared" si="13"/>
        <v/>
      </c>
      <c r="AH68" s="303" t="str">
        <f>IF($E$7=76,(C68/1000),"")</f>
        <v/>
      </c>
      <c r="AI68" s="206" t="str">
        <f t="shared" si="14"/>
        <v/>
      </c>
      <c r="AJ68" s="278" t="str">
        <f t="shared" si="15"/>
        <v/>
      </c>
      <c r="AK68" s="302" t="str">
        <f t="shared" si="16"/>
        <v/>
      </c>
      <c r="AL68" s="278" t="str">
        <f t="shared" si="17"/>
        <v/>
      </c>
      <c r="AN68" s="303" t="str">
        <f>IF($E$8=76,(C68/1000),"")</f>
        <v/>
      </c>
      <c r="AO68" s="206" t="str">
        <f t="shared" si="18"/>
        <v/>
      </c>
      <c r="AP68" s="278" t="str">
        <f t="shared" si="19"/>
        <v/>
      </c>
      <c r="AQ68" s="302" t="str">
        <f t="shared" si="20"/>
        <v/>
      </c>
      <c r="AR68" s="278" t="str">
        <f t="shared" si="21"/>
        <v/>
      </c>
      <c r="AT68" s="203" t="str">
        <f>IF($E$9=76,(C68/1000),"")</f>
        <v/>
      </c>
      <c r="AU68" s="268" t="str">
        <f t="shared" si="22"/>
        <v/>
      </c>
      <c r="AV68" s="275" t="str">
        <f t="shared" si="23"/>
        <v/>
      </c>
      <c r="AW68" s="292" t="str">
        <f t="shared" si="24"/>
        <v/>
      </c>
      <c r="AX68" s="290" t="str">
        <f t="shared" si="25"/>
        <v/>
      </c>
      <c r="AZ68" s="203" t="str">
        <f>IF($E$10=76,(C68/1000),"")</f>
        <v/>
      </c>
      <c r="BA68" s="268" t="str">
        <f t="shared" si="26"/>
        <v/>
      </c>
      <c r="BB68" s="275" t="str">
        <f t="shared" si="27"/>
        <v/>
      </c>
      <c r="BC68" s="292" t="str">
        <f t="shared" si="28"/>
        <v/>
      </c>
      <c r="BD68" s="290" t="str">
        <f t="shared" si="29"/>
        <v/>
      </c>
      <c r="BF68" s="296" t="str">
        <f>IF($E$11=76,(C68/1000),"")</f>
        <v/>
      </c>
      <c r="BG68" s="267" t="str">
        <f t="shared" si="30"/>
        <v/>
      </c>
      <c r="BH68" s="275" t="str">
        <f t="shared" si="31"/>
        <v/>
      </c>
      <c r="BI68" s="292" t="str">
        <f t="shared" si="32"/>
        <v/>
      </c>
      <c r="BJ68" s="55" t="str">
        <f t="shared" si="33"/>
        <v/>
      </c>
    </row>
    <row r="69" spans="1:83" ht="13.5" customHeight="1" thickBot="1" x14ac:dyDescent="0.3">
      <c r="A69" s="34" t="b">
        <f t="shared" si="6"/>
        <v>0</v>
      </c>
      <c r="B69" s="61">
        <f>COMPOSITTIONS!A56</f>
        <v>77</v>
      </c>
      <c r="C69" s="282">
        <f>COMPOSITTIONS!B56</f>
        <v>0.82</v>
      </c>
      <c r="D69" s="284" t="str">
        <f>COMPOSITTIONS!C56</f>
        <v>Trèfle de micheli</v>
      </c>
      <c r="E69" s="276">
        <f t="shared" si="3"/>
        <v>8.1999999999999998E-4</v>
      </c>
      <c r="F69" s="278" t="e">
        <f>(#REF!+O69+AE69+AJ69+AP69+AV69+BB69+BH69+X69)</f>
        <v>#REF!</v>
      </c>
      <c r="G69" s="271" t="e">
        <f t="shared" si="34"/>
        <v>#REF!</v>
      </c>
      <c r="H69" s="275" t="e">
        <f>(BI69+BC69+AW69+AQ69+AK69+AF69+P69)</f>
        <v>#VALUE!</v>
      </c>
      <c r="I69" s="271" t="e">
        <f t="shared" si="35"/>
        <v>#VALUE!</v>
      </c>
      <c r="J69" s="56"/>
      <c r="K69" s="56"/>
      <c r="L69" s="56"/>
      <c r="M69" s="144">
        <f t="shared" si="8"/>
        <v>8.1999999999999998E-4</v>
      </c>
      <c r="N69" s="58">
        <f>IF($F$3&lt;&gt;"",(HLOOKUP($F$3,COMPOSITTIONS!$D$2:$AA$66,55,FALSE)),#REF!)</f>
        <v>0</v>
      </c>
      <c r="O69" s="54">
        <f t="shared" si="9"/>
        <v>0</v>
      </c>
      <c r="P69" s="54">
        <f>(O69*1000)/M69</f>
        <v>0</v>
      </c>
      <c r="Q69" s="64" t="e">
        <f>IF(P69=#REF!,"0",(P69/$P$16))</f>
        <v>#REF!</v>
      </c>
      <c r="S69" s="173">
        <f>E69</f>
        <v>8.1999999999999998E-4</v>
      </c>
      <c r="T69" s="57" t="e">
        <f ca="1">IF(T69=#REF!,"0",$J$4/T69)</f>
        <v>#DIV/0!</v>
      </c>
      <c r="U69" s="57" t="e">
        <f t="shared" si="10"/>
        <v>#VALUE!</v>
      </c>
      <c r="V69" s="305" t="e">
        <f>IF($E$4&gt;10,HLOOKUP($E$4,COMPOSITTIONS!A:V,4,FALSE),#REF!)</f>
        <v>#N/A</v>
      </c>
      <c r="W69" s="278" t="e">
        <f>IF($F$4&lt;&gt;"",(HLOOKUP($F$4,COMPOSITTIONS!$D$2:$AA$66,55,FALSE)),#REF!)</f>
        <v>#REF!</v>
      </c>
      <c r="X69" s="278" t="e">
        <f t="shared" si="11"/>
        <v>#REF!</v>
      </c>
      <c r="Y69" s="57" t="e">
        <f t="shared" si="4"/>
        <v>#REF!</v>
      </c>
      <c r="Z69" s="55" t="e">
        <f>IF(Y69=#REF!,"0",(Y69/$Y$16))</f>
        <v>#REF!</v>
      </c>
      <c r="AB69" s="303" t="str">
        <f>IF($E$6=77,(C69/1000),"")</f>
        <v/>
      </c>
      <c r="AC69" s="282" t="str">
        <f t="shared" si="12"/>
        <v/>
      </c>
      <c r="AD69" s="278" t="str">
        <f t="shared" si="36"/>
        <v/>
      </c>
      <c r="AE69" s="302" t="str">
        <f t="shared" si="5"/>
        <v/>
      </c>
      <c r="AF69" s="278" t="str">
        <f t="shared" si="13"/>
        <v/>
      </c>
      <c r="AH69" s="303" t="str">
        <f>IF($E$7=77,(C69/1000),"")</f>
        <v/>
      </c>
      <c r="AI69" s="206" t="str">
        <f t="shared" si="14"/>
        <v/>
      </c>
      <c r="AJ69" s="278" t="str">
        <f t="shared" si="15"/>
        <v/>
      </c>
      <c r="AK69" s="302" t="str">
        <f t="shared" si="16"/>
        <v/>
      </c>
      <c r="AL69" s="278" t="str">
        <f t="shared" si="17"/>
        <v/>
      </c>
      <c r="AN69" s="303" t="str">
        <f>IF($E$8=77,(C69/1000),"")</f>
        <v/>
      </c>
      <c r="AO69" s="206" t="str">
        <f t="shared" si="18"/>
        <v/>
      </c>
      <c r="AP69" s="278" t="str">
        <f t="shared" si="19"/>
        <v/>
      </c>
      <c r="AQ69" s="302" t="str">
        <f t="shared" si="20"/>
        <v/>
      </c>
      <c r="AR69" s="278" t="str">
        <f t="shared" si="21"/>
        <v/>
      </c>
      <c r="AT69" s="203" t="str">
        <f>IF($E$9=77,(C69/1000),"")</f>
        <v/>
      </c>
      <c r="AU69" s="268" t="str">
        <f t="shared" si="22"/>
        <v/>
      </c>
      <c r="AV69" s="275" t="str">
        <f t="shared" si="23"/>
        <v/>
      </c>
      <c r="AW69" s="292" t="str">
        <f t="shared" si="24"/>
        <v/>
      </c>
      <c r="AX69" s="290" t="str">
        <f t="shared" si="25"/>
        <v/>
      </c>
      <c r="AZ69" s="203" t="str">
        <f>IF($E$10=77,(C69/1000),"")</f>
        <v/>
      </c>
      <c r="BA69" s="268" t="str">
        <f t="shared" si="26"/>
        <v/>
      </c>
      <c r="BB69" s="275" t="str">
        <f t="shared" si="27"/>
        <v/>
      </c>
      <c r="BC69" s="292" t="str">
        <f t="shared" si="28"/>
        <v/>
      </c>
      <c r="BD69" s="290" t="str">
        <f t="shared" si="29"/>
        <v/>
      </c>
      <c r="BF69" s="296" t="str">
        <f>IF($E$11=77,(C69/1000),"")</f>
        <v/>
      </c>
      <c r="BG69" s="267" t="str">
        <f t="shared" si="30"/>
        <v/>
      </c>
      <c r="BH69" s="275" t="str">
        <f t="shared" si="31"/>
        <v/>
      </c>
      <c r="BI69" s="292" t="str">
        <f t="shared" si="32"/>
        <v/>
      </c>
      <c r="BJ69" s="55" t="str">
        <f t="shared" si="33"/>
        <v/>
      </c>
    </row>
    <row r="70" spans="1:83" ht="13.5" customHeight="1" thickBot="1" x14ac:dyDescent="0.3">
      <c r="A70" s="34" t="b">
        <f t="shared" si="6"/>
        <v>0</v>
      </c>
      <c r="B70" s="61">
        <f>COMPOSITTIONS!A57</f>
        <v>78</v>
      </c>
      <c r="C70" s="282">
        <f>COMPOSITTIONS!B57</f>
        <v>1.4</v>
      </c>
      <c r="D70" s="284" t="str">
        <f>COMPOSITTIONS!C57</f>
        <v>Trèfle de perse</v>
      </c>
      <c r="E70" s="276">
        <f t="shared" si="3"/>
        <v>1.4E-3</v>
      </c>
      <c r="F70" s="278" t="e">
        <f>(#REF!+O70+AE70+AJ70+AP70+AV70+BB70+BH70+X70)</f>
        <v>#REF!</v>
      </c>
      <c r="G70" s="271" t="e">
        <f t="shared" si="34"/>
        <v>#REF!</v>
      </c>
      <c r="H70" s="275" t="e">
        <f>(BI70+BC70+AW70+AQ70+AK70+AF70+P70)</f>
        <v>#VALUE!</v>
      </c>
      <c r="I70" s="271" t="e">
        <f t="shared" si="35"/>
        <v>#VALUE!</v>
      </c>
      <c r="J70" s="56"/>
      <c r="K70" s="56"/>
      <c r="L70" s="56"/>
      <c r="M70" s="144">
        <f t="shared" si="8"/>
        <v>1.4E-3</v>
      </c>
      <c r="N70" s="58">
        <f>IF($F$3&lt;&gt;"",(HLOOKUP($F$3,COMPOSITTIONS!$D$2:$AA$66,56,FALSE)),#REF!)</f>
        <v>0</v>
      </c>
      <c r="O70" s="54">
        <f t="shared" si="9"/>
        <v>0</v>
      </c>
      <c r="P70" s="54">
        <f>(O70*1000)/M70</f>
        <v>0</v>
      </c>
      <c r="Q70" s="55" t="e">
        <f>IF(P70=#REF!,"0",(P70/$P$16))</f>
        <v>#REF!</v>
      </c>
      <c r="S70" s="173">
        <f>E70</f>
        <v>1.4E-3</v>
      </c>
      <c r="T70" s="57" t="e">
        <f ca="1">IF(T70=#REF!,"0",$J$4/T70)</f>
        <v>#DIV/0!</v>
      </c>
      <c r="U70" s="57" t="e">
        <f t="shared" si="10"/>
        <v>#VALUE!</v>
      </c>
      <c r="V70" s="305" t="e">
        <f>IF($E$4&gt;10,HLOOKUP($E$4,COMPOSITTIONS!A:V,4,FALSE),#REF!)</f>
        <v>#N/A</v>
      </c>
      <c r="W70" s="278" t="e">
        <f>IF($F$4&lt;&gt;"",(HLOOKUP($F$4,COMPOSITTIONS!$D$2:$AA$66,56,FALSE)),#REF!)</f>
        <v>#REF!</v>
      </c>
      <c r="X70" s="278" t="e">
        <f t="shared" si="11"/>
        <v>#REF!</v>
      </c>
      <c r="Y70" s="57" t="e">
        <f t="shared" si="4"/>
        <v>#REF!</v>
      </c>
      <c r="Z70" s="55" t="e">
        <f>IF(Y70=#REF!,"0",(Y70/$Y$16))</f>
        <v>#REF!</v>
      </c>
      <c r="AB70" s="303" t="str">
        <f>IF($E$6=78,(C70/1000),"")</f>
        <v/>
      </c>
      <c r="AC70" s="282" t="str">
        <f t="shared" si="12"/>
        <v/>
      </c>
      <c r="AD70" s="278" t="str">
        <f t="shared" si="36"/>
        <v/>
      </c>
      <c r="AE70" s="302" t="str">
        <f t="shared" si="5"/>
        <v/>
      </c>
      <c r="AF70" s="278" t="str">
        <f t="shared" si="13"/>
        <v/>
      </c>
      <c r="AH70" s="303" t="str">
        <f>IF($E$7=78,(C70/1000),"")</f>
        <v/>
      </c>
      <c r="AI70" s="206" t="str">
        <f t="shared" si="14"/>
        <v/>
      </c>
      <c r="AJ70" s="278" t="str">
        <f t="shared" si="15"/>
        <v/>
      </c>
      <c r="AK70" s="302" t="str">
        <f t="shared" si="16"/>
        <v/>
      </c>
      <c r="AL70" s="278" t="str">
        <f t="shared" si="17"/>
        <v/>
      </c>
      <c r="AN70" s="303" t="str">
        <f>IF($E$8=78,(C70/1000),"")</f>
        <v/>
      </c>
      <c r="AO70" s="206" t="str">
        <f t="shared" si="18"/>
        <v/>
      </c>
      <c r="AP70" s="278" t="str">
        <f t="shared" si="19"/>
        <v/>
      </c>
      <c r="AQ70" s="302" t="str">
        <f t="shared" si="20"/>
        <v/>
      </c>
      <c r="AR70" s="278" t="str">
        <f t="shared" si="21"/>
        <v/>
      </c>
      <c r="AT70" s="203" t="str">
        <f>IF($E$9=78,(C70/1000),"")</f>
        <v/>
      </c>
      <c r="AU70" s="268" t="str">
        <f t="shared" si="22"/>
        <v/>
      </c>
      <c r="AV70" s="275" t="str">
        <f t="shared" si="23"/>
        <v/>
      </c>
      <c r="AW70" s="292" t="str">
        <f t="shared" si="24"/>
        <v/>
      </c>
      <c r="AX70" s="290" t="str">
        <f t="shared" si="25"/>
        <v/>
      </c>
      <c r="AZ70" s="203" t="str">
        <f>IF($E$10=78,(C70/1000),"")</f>
        <v/>
      </c>
      <c r="BA70" s="268" t="str">
        <f t="shared" si="26"/>
        <v/>
      </c>
      <c r="BB70" s="275" t="str">
        <f t="shared" si="27"/>
        <v/>
      </c>
      <c r="BC70" s="292" t="str">
        <f t="shared" si="28"/>
        <v/>
      </c>
      <c r="BD70" s="290" t="str">
        <f t="shared" si="29"/>
        <v/>
      </c>
      <c r="BF70" s="296" t="str">
        <f>IF($E$11=78,(C70/1000),"")</f>
        <v/>
      </c>
      <c r="BG70" s="267" t="str">
        <f t="shared" si="30"/>
        <v/>
      </c>
      <c r="BH70" s="275" t="str">
        <f t="shared" si="31"/>
        <v/>
      </c>
      <c r="BI70" s="292" t="str">
        <f t="shared" si="32"/>
        <v/>
      </c>
      <c r="BJ70" s="55" t="str">
        <f t="shared" si="33"/>
        <v/>
      </c>
    </row>
    <row r="71" spans="1:83" ht="13.5" customHeight="1" thickBot="1" x14ac:dyDescent="0.3">
      <c r="A71" s="34" t="b">
        <f t="shared" si="6"/>
        <v>0</v>
      </c>
      <c r="B71" s="61">
        <f>COMPOSITTIONS!A58</f>
        <v>79</v>
      </c>
      <c r="C71" s="282">
        <f>COMPOSITTIONS!B58</f>
        <v>0.9</v>
      </c>
      <c r="D71" s="284" t="str">
        <f>COMPOSITTIONS!C58</f>
        <v>Tréfle fléche</v>
      </c>
      <c r="E71" s="276">
        <f t="shared" si="3"/>
        <v>8.9999999999999998E-4</v>
      </c>
      <c r="F71" s="278" t="e">
        <f>(#REF!+O71+AE71+AJ71+AP71+AV71+BB71+BH71+X71)</f>
        <v>#REF!</v>
      </c>
      <c r="G71" s="271" t="e">
        <f t="shared" si="34"/>
        <v>#REF!</v>
      </c>
      <c r="H71" s="275" t="e">
        <f>(BI71+BC71+AW71+AQ71+AK71+AF71+P71)</f>
        <v>#VALUE!</v>
      </c>
      <c r="I71" s="271" t="e">
        <f t="shared" si="35"/>
        <v>#VALUE!</v>
      </c>
      <c r="J71" s="56"/>
      <c r="K71" s="56"/>
      <c r="L71" s="56"/>
      <c r="M71" s="144">
        <f t="shared" si="8"/>
        <v>8.9999999999999998E-4</v>
      </c>
      <c r="N71" s="58">
        <f>IF($F$3&lt;&gt;"",(HLOOKUP($F$3,COMPOSITTIONS!$D$2:$AA$66,57,FALSE)),#REF!)</f>
        <v>0</v>
      </c>
      <c r="O71" s="54">
        <f t="shared" si="9"/>
        <v>0</v>
      </c>
      <c r="P71" s="54">
        <f>(O71*1000)/M71</f>
        <v>0</v>
      </c>
      <c r="Q71" s="55" t="e">
        <f>IF(P71=#REF!,"0",(P71/$P$16))</f>
        <v>#REF!</v>
      </c>
      <c r="S71" s="173">
        <f>E71</f>
        <v>8.9999999999999998E-4</v>
      </c>
      <c r="T71" s="57" t="e">
        <f ca="1">IF(T71=#REF!,"0",$J$4/T71)</f>
        <v>#DIV/0!</v>
      </c>
      <c r="U71" s="57" t="e">
        <f t="shared" si="10"/>
        <v>#VALUE!</v>
      </c>
      <c r="V71" s="305" t="e">
        <f>IF($E$4&gt;10,HLOOKUP($E$4,COMPOSITTIONS!A:V,4,FALSE),#REF!)</f>
        <v>#N/A</v>
      </c>
      <c r="W71" s="278" t="e">
        <f>IF($F$4&lt;&gt;"",(HLOOKUP($F$4,COMPOSITTIONS!$D$2:$AA$66,57,FALSE)),#REF!)</f>
        <v>#REF!</v>
      </c>
      <c r="X71" s="278" t="e">
        <f t="shared" si="11"/>
        <v>#REF!</v>
      </c>
      <c r="Y71" s="57" t="e">
        <f t="shared" si="4"/>
        <v>#REF!</v>
      </c>
      <c r="Z71" s="55" t="e">
        <f>IF(Y71=#REF!,"0",(Y71/$Y$16))</f>
        <v>#REF!</v>
      </c>
      <c r="AB71" s="303" t="str">
        <f>IF($E$6=79,(C71/1000),"")</f>
        <v/>
      </c>
      <c r="AC71" s="282" t="str">
        <f t="shared" si="12"/>
        <v/>
      </c>
      <c r="AD71" s="278" t="str">
        <f t="shared" si="36"/>
        <v/>
      </c>
      <c r="AE71" s="302" t="str">
        <f t="shared" si="5"/>
        <v/>
      </c>
      <c r="AF71" s="278" t="str">
        <f t="shared" si="13"/>
        <v/>
      </c>
      <c r="AH71" s="303" t="str">
        <f>IF($E$7=79,(C71/1000),"")</f>
        <v/>
      </c>
      <c r="AI71" s="206" t="str">
        <f t="shared" si="14"/>
        <v/>
      </c>
      <c r="AJ71" s="278" t="str">
        <f t="shared" si="15"/>
        <v/>
      </c>
      <c r="AK71" s="302" t="str">
        <f t="shared" si="16"/>
        <v/>
      </c>
      <c r="AL71" s="278" t="str">
        <f t="shared" si="17"/>
        <v/>
      </c>
      <c r="AN71" s="303" t="str">
        <f>IF($E$8=79,(C71/1000),"")</f>
        <v/>
      </c>
      <c r="AO71" s="206" t="str">
        <f t="shared" si="18"/>
        <v/>
      </c>
      <c r="AP71" s="278" t="str">
        <f t="shared" si="19"/>
        <v/>
      </c>
      <c r="AQ71" s="302" t="str">
        <f t="shared" si="20"/>
        <v/>
      </c>
      <c r="AR71" s="278" t="str">
        <f t="shared" si="21"/>
        <v/>
      </c>
      <c r="AT71" s="203" t="str">
        <f>IF($E$9=79,(C71/1000),"")</f>
        <v/>
      </c>
      <c r="AU71" s="268" t="str">
        <f t="shared" si="22"/>
        <v/>
      </c>
      <c r="AV71" s="275" t="str">
        <f t="shared" si="23"/>
        <v/>
      </c>
      <c r="AW71" s="292" t="str">
        <f t="shared" si="24"/>
        <v/>
      </c>
      <c r="AX71" s="290" t="str">
        <f t="shared" si="25"/>
        <v/>
      </c>
      <c r="AZ71" s="203" t="str">
        <f>IF($E$10=79,(C71/1000),"")</f>
        <v/>
      </c>
      <c r="BA71" s="268" t="str">
        <f t="shared" si="26"/>
        <v/>
      </c>
      <c r="BB71" s="275" t="str">
        <f t="shared" si="27"/>
        <v/>
      </c>
      <c r="BC71" s="292" t="str">
        <f t="shared" si="28"/>
        <v/>
      </c>
      <c r="BD71" s="290" t="str">
        <f t="shared" si="29"/>
        <v/>
      </c>
      <c r="BF71" s="296" t="str">
        <f>IF($E$11=79,(C71/1000),"")</f>
        <v/>
      </c>
      <c r="BG71" s="267" t="str">
        <f t="shared" si="30"/>
        <v/>
      </c>
      <c r="BH71" s="275" t="str">
        <f t="shared" si="31"/>
        <v/>
      </c>
      <c r="BI71" s="292" t="str">
        <f t="shared" si="32"/>
        <v/>
      </c>
      <c r="BJ71" s="55" t="str">
        <f t="shared" si="33"/>
        <v/>
      </c>
    </row>
    <row r="72" spans="1:83" ht="13.5" customHeight="1" thickBot="1" x14ac:dyDescent="0.3">
      <c r="A72" s="34" t="b">
        <f t="shared" si="6"/>
        <v>0</v>
      </c>
      <c r="B72" s="61">
        <f>COMPOSITTIONS!A59</f>
        <v>80</v>
      </c>
      <c r="C72" s="282">
        <f>COMPOSITTIONS!B59</f>
        <v>0.7</v>
      </c>
      <c r="D72" s="284" t="str">
        <f>COMPOSITTIONS!C59</f>
        <v>Trèfle hybride</v>
      </c>
      <c r="E72" s="276">
        <f t="shared" si="3"/>
        <v>6.9999999999999999E-4</v>
      </c>
      <c r="F72" s="278" t="e">
        <f>(#REF!+O72+AE72+AJ72+AP72+AV72+BB72+BH72+X72)</f>
        <v>#REF!</v>
      </c>
      <c r="G72" s="271" t="e">
        <f t="shared" si="34"/>
        <v>#REF!</v>
      </c>
      <c r="H72" s="275" t="e">
        <f>(BI72+BC72+AW72+AQ72+AK72+AF72+P72)</f>
        <v>#VALUE!</v>
      </c>
      <c r="I72" s="271" t="e">
        <f t="shared" si="35"/>
        <v>#VALUE!</v>
      </c>
      <c r="J72" s="56"/>
      <c r="K72" s="56"/>
      <c r="L72" s="56"/>
      <c r="M72" s="144">
        <f t="shared" si="8"/>
        <v>6.9999999999999999E-4</v>
      </c>
      <c r="N72" s="58">
        <f>IF($F$3&lt;&gt;"",(HLOOKUP($F$3,COMPOSITTIONS!$D$2:$AA$66,58,FALSE)),#REF!)</f>
        <v>5</v>
      </c>
      <c r="O72" s="54">
        <f t="shared" si="9"/>
        <v>0.25</v>
      </c>
      <c r="P72" s="54">
        <f>(O72*1000)/M72</f>
        <v>357142.85714285716</v>
      </c>
      <c r="Q72" s="55" t="e">
        <f>IF(P72=#REF!,"0",(P72/$P$16))</f>
        <v>#REF!</v>
      </c>
      <c r="S72" s="173">
        <f>E72</f>
        <v>6.9999999999999999E-4</v>
      </c>
      <c r="T72" s="57" t="e">
        <f ca="1">IF(T72=#REF!,"0",$J$4/T72)</f>
        <v>#DIV/0!</v>
      </c>
      <c r="U72" s="57" t="e">
        <f t="shared" si="10"/>
        <v>#VALUE!</v>
      </c>
      <c r="V72" s="305" t="e">
        <f>IF($E$4&gt;10,HLOOKUP($E$4,COMPOSITTIONS!A:V,4,FALSE),#REF!)</f>
        <v>#N/A</v>
      </c>
      <c r="W72" s="278" t="e">
        <f>IF($F$4&lt;&gt;"",(HLOOKUP($F$4,COMPOSITTIONS!$D$2:$AA$66,58,FALSE)),#REF!)</f>
        <v>#REF!</v>
      </c>
      <c r="X72" s="278" t="e">
        <f t="shared" si="11"/>
        <v>#REF!</v>
      </c>
      <c r="Y72" s="57" t="e">
        <f t="shared" si="4"/>
        <v>#REF!</v>
      </c>
      <c r="Z72" s="55" t="e">
        <f>IF(Y72=#REF!,"0",(Y72/$Y$16))</f>
        <v>#REF!</v>
      </c>
      <c r="AB72" s="303" t="str">
        <f>IF($E$6=80,(C72/1000),"")</f>
        <v/>
      </c>
      <c r="AC72" s="282" t="str">
        <f t="shared" si="12"/>
        <v/>
      </c>
      <c r="AD72" s="278" t="str">
        <f t="shared" si="36"/>
        <v/>
      </c>
      <c r="AE72" s="302" t="str">
        <f t="shared" si="5"/>
        <v/>
      </c>
      <c r="AF72" s="278" t="str">
        <f t="shared" si="13"/>
        <v/>
      </c>
      <c r="AH72" s="303" t="str">
        <f>IF($E$7=80,(C72/1000),"")</f>
        <v/>
      </c>
      <c r="AI72" s="206" t="str">
        <f t="shared" si="14"/>
        <v/>
      </c>
      <c r="AJ72" s="278" t="str">
        <f t="shared" si="15"/>
        <v/>
      </c>
      <c r="AK72" s="302" t="str">
        <f t="shared" si="16"/>
        <v/>
      </c>
      <c r="AL72" s="278" t="str">
        <f t="shared" si="17"/>
        <v/>
      </c>
      <c r="AN72" s="303" t="str">
        <f>IF($E$8=80,(C72/1000),"")</f>
        <v/>
      </c>
      <c r="AO72" s="206" t="str">
        <f t="shared" si="18"/>
        <v/>
      </c>
      <c r="AP72" s="278" t="str">
        <f t="shared" si="19"/>
        <v/>
      </c>
      <c r="AQ72" s="302" t="str">
        <f t="shared" si="20"/>
        <v/>
      </c>
      <c r="AR72" s="278" t="str">
        <f t="shared" si="21"/>
        <v/>
      </c>
      <c r="AT72" s="203" t="str">
        <f>IF($E$9=80,(C72/1000),"")</f>
        <v/>
      </c>
      <c r="AU72" s="268" t="str">
        <f t="shared" si="22"/>
        <v/>
      </c>
      <c r="AV72" s="275" t="str">
        <f t="shared" si="23"/>
        <v/>
      </c>
      <c r="AW72" s="292" t="str">
        <f t="shared" si="24"/>
        <v/>
      </c>
      <c r="AX72" s="290" t="str">
        <f t="shared" si="25"/>
        <v/>
      </c>
      <c r="AZ72" s="203" t="str">
        <f>IF($E$10=80,(C72/1000),"")</f>
        <v/>
      </c>
      <c r="BA72" s="268" t="str">
        <f t="shared" si="26"/>
        <v/>
      </c>
      <c r="BB72" s="275" t="str">
        <f t="shared" si="27"/>
        <v/>
      </c>
      <c r="BC72" s="292" t="str">
        <f t="shared" si="28"/>
        <v/>
      </c>
      <c r="BD72" s="290" t="str">
        <f t="shared" si="29"/>
        <v/>
      </c>
      <c r="BF72" s="296" t="str">
        <f>IF($E$11=80,(C72/1000),"")</f>
        <v/>
      </c>
      <c r="BG72" s="267" t="str">
        <f t="shared" si="30"/>
        <v/>
      </c>
      <c r="BH72" s="275" t="str">
        <f t="shared" si="31"/>
        <v/>
      </c>
      <c r="BI72" s="292" t="str">
        <f t="shared" si="32"/>
        <v/>
      </c>
      <c r="BJ72" s="55" t="str">
        <f t="shared" si="33"/>
        <v/>
      </c>
    </row>
    <row r="73" spans="1:83" ht="13.5" customHeight="1" thickBot="1" x14ac:dyDescent="0.3">
      <c r="A73" s="34" t="b">
        <f t="shared" si="6"/>
        <v>0</v>
      </c>
      <c r="B73" s="61">
        <f>COMPOSITTIONS!A60</f>
        <v>81</v>
      </c>
      <c r="C73" s="282">
        <f>COMPOSITTIONS!B60</f>
        <v>3.5</v>
      </c>
      <c r="D73" s="284" t="str">
        <f>COMPOSITTIONS!C60</f>
        <v>Trèfle incarnat</v>
      </c>
      <c r="E73" s="276">
        <f t="shared" si="3"/>
        <v>3.5000000000000001E-3</v>
      </c>
      <c r="F73" s="278" t="e">
        <f>(#REF!+O73+AE73+AJ73+AP73+AV73+BB73+BH73+X73)</f>
        <v>#REF!</v>
      </c>
      <c r="G73" s="271" t="e">
        <f t="shared" si="34"/>
        <v>#REF!</v>
      </c>
      <c r="H73" s="275" t="e">
        <f>(BI73+BC73+AW73+AQ73+AK73+AF73+P73)</f>
        <v>#VALUE!</v>
      </c>
      <c r="I73" s="271" t="e">
        <f t="shared" si="35"/>
        <v>#VALUE!</v>
      </c>
      <c r="J73" s="56"/>
      <c r="K73" s="56"/>
      <c r="L73" s="56"/>
      <c r="M73" s="144">
        <f t="shared" si="8"/>
        <v>3.5000000000000001E-3</v>
      </c>
      <c r="N73" s="58">
        <f>IF($F$3&lt;&gt;"",(HLOOKUP($F$3,COMPOSITTIONS!$D$2:$AA$66,59,FALSE)),#REF!)</f>
        <v>0</v>
      </c>
      <c r="O73" s="54">
        <f t="shared" si="9"/>
        <v>0</v>
      </c>
      <c r="P73" s="54">
        <f>(O73*1000)/M73</f>
        <v>0</v>
      </c>
      <c r="Q73" s="55" t="e">
        <f>IF(P73=#REF!,"0",(P73/$P$16))</f>
        <v>#REF!</v>
      </c>
      <c r="S73" s="173">
        <f>E73</f>
        <v>3.5000000000000001E-3</v>
      </c>
      <c r="T73" s="57" t="e">
        <f ca="1">IF(T73=#REF!,"0",$J$4/T73)</f>
        <v>#DIV/0!</v>
      </c>
      <c r="U73" s="57" t="e">
        <f t="shared" si="10"/>
        <v>#VALUE!</v>
      </c>
      <c r="V73" s="305" t="e">
        <f>IF($E$4&gt;10,HLOOKUP($E$4,COMPOSITTIONS!A:V,4,FALSE),#REF!)</f>
        <v>#N/A</v>
      </c>
      <c r="W73" s="278" t="e">
        <f>IF($F$4&lt;&gt;"",(HLOOKUP($F$4,COMPOSITTIONS!$D$2:$AA$66,59,FALSE)),#REF!)</f>
        <v>#REF!</v>
      </c>
      <c r="X73" s="278" t="e">
        <f t="shared" si="11"/>
        <v>#REF!</v>
      </c>
      <c r="Y73" s="57" t="e">
        <f t="shared" si="4"/>
        <v>#REF!</v>
      </c>
      <c r="Z73" s="55" t="e">
        <f>IF(Y73=#REF!,"0",(Y73/$Y$16))</f>
        <v>#REF!</v>
      </c>
      <c r="AB73" s="303" t="str">
        <f>IF($E$6=81,(C73/1000),"")</f>
        <v/>
      </c>
      <c r="AC73" s="282" t="str">
        <f t="shared" si="12"/>
        <v/>
      </c>
      <c r="AD73" s="278" t="str">
        <f t="shared" si="36"/>
        <v/>
      </c>
      <c r="AE73" s="302" t="str">
        <f t="shared" si="5"/>
        <v/>
      </c>
      <c r="AF73" s="278" t="str">
        <f t="shared" si="13"/>
        <v/>
      </c>
      <c r="AH73" s="303" t="str">
        <f>IF($E$7=81,(C73/1000),"")</f>
        <v/>
      </c>
      <c r="AI73" s="206" t="str">
        <f t="shared" si="14"/>
        <v/>
      </c>
      <c r="AJ73" s="278" t="str">
        <f t="shared" si="15"/>
        <v/>
      </c>
      <c r="AK73" s="302" t="str">
        <f t="shared" si="16"/>
        <v/>
      </c>
      <c r="AL73" s="278" t="str">
        <f t="shared" si="17"/>
        <v/>
      </c>
      <c r="AN73" s="303" t="str">
        <f>IF($E$8=81,(C73/1000),"")</f>
        <v/>
      </c>
      <c r="AO73" s="206" t="str">
        <f t="shared" si="18"/>
        <v/>
      </c>
      <c r="AP73" s="278" t="str">
        <f t="shared" si="19"/>
        <v/>
      </c>
      <c r="AQ73" s="302" t="str">
        <f t="shared" si="20"/>
        <v/>
      </c>
      <c r="AR73" s="278" t="str">
        <f t="shared" si="21"/>
        <v/>
      </c>
      <c r="AT73" s="203" t="str">
        <f>IF($E$9=81,(C73/1000),"")</f>
        <v/>
      </c>
      <c r="AU73" s="268" t="str">
        <f t="shared" si="22"/>
        <v/>
      </c>
      <c r="AV73" s="275" t="str">
        <f t="shared" si="23"/>
        <v/>
      </c>
      <c r="AW73" s="292" t="str">
        <f t="shared" si="24"/>
        <v/>
      </c>
      <c r="AX73" s="290" t="str">
        <f t="shared" si="25"/>
        <v/>
      </c>
      <c r="AZ73" s="203" t="str">
        <f>IF($E$10=81,(C73/1000),"")</f>
        <v/>
      </c>
      <c r="BA73" s="268" t="str">
        <f t="shared" si="26"/>
        <v/>
      </c>
      <c r="BB73" s="275" t="str">
        <f t="shared" si="27"/>
        <v/>
      </c>
      <c r="BC73" s="292" t="str">
        <f t="shared" si="28"/>
        <v/>
      </c>
      <c r="BD73" s="290" t="str">
        <f t="shared" si="29"/>
        <v/>
      </c>
      <c r="BF73" s="296" t="str">
        <f>IF($E$11=81,(C73/1000),"")</f>
        <v/>
      </c>
      <c r="BG73" s="267" t="str">
        <f t="shared" si="30"/>
        <v/>
      </c>
      <c r="BH73" s="275" t="str">
        <f t="shared" si="31"/>
        <v/>
      </c>
      <c r="BI73" s="292" t="str">
        <f t="shared" si="32"/>
        <v/>
      </c>
      <c r="BJ73" s="55" t="str">
        <f t="shared" si="33"/>
        <v/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</row>
    <row r="74" spans="1:83" ht="13.5" customHeight="1" thickBot="1" x14ac:dyDescent="0.3">
      <c r="A74" s="34" t="b">
        <f t="shared" si="6"/>
        <v>0</v>
      </c>
      <c r="B74" s="61">
        <f>COMPOSITTIONS!A61</f>
        <v>82</v>
      </c>
      <c r="C74" s="282">
        <f>COMPOSITTIONS!B61</f>
        <v>3.8</v>
      </c>
      <c r="D74" s="284" t="str">
        <f>COMPOSITTIONS!C61</f>
        <v>Trèfle squarosum</v>
      </c>
      <c r="E74" s="276">
        <f t="shared" si="3"/>
        <v>3.8E-3</v>
      </c>
      <c r="F74" s="278" t="e">
        <f>(#REF!+O74+AE74+AJ74+AP74+AV74+BB74+BH74+X74)</f>
        <v>#REF!</v>
      </c>
      <c r="G74" s="271" t="e">
        <f t="shared" si="34"/>
        <v>#REF!</v>
      </c>
      <c r="H74" s="275" t="e">
        <f>(BI74+BC74+AW74+AQ74+AK74+AF74+P74)</f>
        <v>#VALUE!</v>
      </c>
      <c r="I74" s="271" t="e">
        <f t="shared" si="35"/>
        <v>#VALUE!</v>
      </c>
      <c r="J74" s="56"/>
      <c r="K74" s="56"/>
      <c r="L74" s="56"/>
      <c r="M74" s="144">
        <f t="shared" si="8"/>
        <v>3.8E-3</v>
      </c>
      <c r="N74" s="58">
        <f>IF($F$3&lt;&gt;"",(HLOOKUP($F$3,COMPOSITTIONS!$D$2:$AA$66,60,FALSE)),#REF!)</f>
        <v>0</v>
      </c>
      <c r="O74" s="54">
        <f t="shared" si="9"/>
        <v>0</v>
      </c>
      <c r="P74" s="54">
        <f>(O74*1000)/M74</f>
        <v>0</v>
      </c>
      <c r="Q74" s="66" t="e">
        <f>IF(P74=#REF!,"0",(P74/$P$16))</f>
        <v>#REF!</v>
      </c>
      <c r="S74" s="173">
        <f>E74</f>
        <v>3.8E-3</v>
      </c>
      <c r="T74" s="57" t="e">
        <f ca="1">IF(T74=#REF!,"0",$J$4/T74)</f>
        <v>#DIV/0!</v>
      </c>
      <c r="U74" s="57" t="e">
        <f t="shared" si="10"/>
        <v>#VALUE!</v>
      </c>
      <c r="V74" s="305" t="e">
        <f>IF($E$4&gt;10,HLOOKUP($E$4,COMPOSITTIONS!A:V,4,FALSE),#REF!)</f>
        <v>#N/A</v>
      </c>
      <c r="W74" s="278" t="e">
        <f>IF($F$4&lt;&gt;"",(HLOOKUP($F$4,COMPOSITTIONS!$D$2:$AA$66,60,FALSE)),#REF!)</f>
        <v>#REF!</v>
      </c>
      <c r="X74" s="278" t="e">
        <f t="shared" si="11"/>
        <v>#REF!</v>
      </c>
      <c r="Y74" s="57" t="e">
        <f t="shared" si="4"/>
        <v>#REF!</v>
      </c>
      <c r="Z74" s="55" t="e">
        <f>IF(Y74=#REF!,"0",(Y74/$Y$16))</f>
        <v>#REF!</v>
      </c>
      <c r="AB74" s="303" t="str">
        <f>IF($E$6=82,(C74/1000),"")</f>
        <v/>
      </c>
      <c r="AC74" s="282" t="str">
        <f t="shared" si="12"/>
        <v/>
      </c>
      <c r="AD74" s="278" t="str">
        <f t="shared" si="36"/>
        <v/>
      </c>
      <c r="AE74" s="302" t="str">
        <f t="shared" si="5"/>
        <v/>
      </c>
      <c r="AF74" s="278" t="str">
        <f t="shared" si="13"/>
        <v/>
      </c>
      <c r="AH74" s="303" t="str">
        <f>IF($E$7=82,(C74/1000),"")</f>
        <v/>
      </c>
      <c r="AI74" s="206" t="str">
        <f t="shared" si="14"/>
        <v/>
      </c>
      <c r="AJ74" s="278" t="str">
        <f t="shared" si="15"/>
        <v/>
      </c>
      <c r="AK74" s="302" t="str">
        <f t="shared" si="16"/>
        <v/>
      </c>
      <c r="AL74" s="278" t="str">
        <f t="shared" si="17"/>
        <v/>
      </c>
      <c r="AN74" s="303" t="str">
        <f>IF($E$8=82,(C74/1000),"")</f>
        <v/>
      </c>
      <c r="AO74" s="206" t="str">
        <f t="shared" si="18"/>
        <v/>
      </c>
      <c r="AP74" s="278" t="str">
        <f t="shared" si="19"/>
        <v/>
      </c>
      <c r="AQ74" s="302" t="str">
        <f t="shared" si="20"/>
        <v/>
      </c>
      <c r="AR74" s="278" t="str">
        <f t="shared" si="21"/>
        <v/>
      </c>
      <c r="AT74" s="203" t="str">
        <f>IF($E$9=82,(C74/1000),"")</f>
        <v/>
      </c>
      <c r="AU74" s="268" t="str">
        <f t="shared" si="22"/>
        <v/>
      </c>
      <c r="AV74" s="275" t="str">
        <f t="shared" si="23"/>
        <v/>
      </c>
      <c r="AW74" s="292" t="str">
        <f t="shared" si="24"/>
        <v/>
      </c>
      <c r="AX74" s="290" t="str">
        <f t="shared" si="25"/>
        <v/>
      </c>
      <c r="AZ74" s="203" t="str">
        <f>IF($E$10=82,(C74/1000),"")</f>
        <v/>
      </c>
      <c r="BA74" s="268" t="str">
        <f t="shared" si="26"/>
        <v/>
      </c>
      <c r="BB74" s="275" t="str">
        <f t="shared" si="27"/>
        <v/>
      </c>
      <c r="BC74" s="292" t="str">
        <f t="shared" si="28"/>
        <v/>
      </c>
      <c r="BD74" s="290" t="str">
        <f t="shared" si="29"/>
        <v/>
      </c>
      <c r="BF74" s="296" t="str">
        <f>IF($E$11=82,(C74/1000),"")</f>
        <v/>
      </c>
      <c r="BG74" s="267" t="str">
        <f t="shared" si="30"/>
        <v/>
      </c>
      <c r="BH74" s="275" t="str">
        <f t="shared" si="31"/>
        <v/>
      </c>
      <c r="BI74" s="292" t="str">
        <f t="shared" si="32"/>
        <v/>
      </c>
      <c r="BJ74" s="55" t="str">
        <f t="shared" si="33"/>
        <v/>
      </c>
      <c r="CB74" s="42"/>
      <c r="CC74" s="42"/>
      <c r="CD74" s="42"/>
      <c r="CE74" s="42"/>
    </row>
    <row r="75" spans="1:83" s="42" customFormat="1" ht="15" customHeight="1" thickBot="1" x14ac:dyDescent="0.3">
      <c r="A75" s="34" t="b">
        <f t="shared" si="6"/>
        <v>0</v>
      </c>
      <c r="B75" s="61">
        <f>COMPOSITTIONS!A62</f>
        <v>83</v>
      </c>
      <c r="C75" s="282">
        <f>COMPOSITTIONS!B62</f>
        <v>1.4</v>
      </c>
      <c r="D75" s="284" t="str">
        <f>COMPOSITTIONS!C62</f>
        <v>Trèfle vésiculum</v>
      </c>
      <c r="E75" s="276">
        <f t="shared" si="3"/>
        <v>1.4E-3</v>
      </c>
      <c r="F75" s="278" t="e">
        <f>(#REF!+O75+AE75+AJ75+AP75+AV75+BB75+BH75+X75)</f>
        <v>#REF!</v>
      </c>
      <c r="G75" s="271" t="e">
        <f t="shared" si="34"/>
        <v>#REF!</v>
      </c>
      <c r="H75" s="275" t="e">
        <f>(BI75+BC75+AW75+AQ75+AK75+AF75+P75)</f>
        <v>#VALUE!</v>
      </c>
      <c r="I75" s="271" t="e">
        <f t="shared" si="35"/>
        <v>#VALUE!</v>
      </c>
      <c r="J75" s="59"/>
      <c r="K75" s="59"/>
      <c r="L75" s="59"/>
      <c r="M75" s="144">
        <f t="shared" si="8"/>
        <v>1.4E-3</v>
      </c>
      <c r="N75" s="58">
        <f>IF($F$3&lt;&gt;"",(HLOOKUP($F$3,COMPOSITTIONS!$D$2:$AA$66,61,FALSE)),#REF!)</f>
        <v>0</v>
      </c>
      <c r="O75" s="54">
        <f t="shared" si="9"/>
        <v>0</v>
      </c>
      <c r="P75" s="54">
        <f>(O75*1000)/M75</f>
        <v>0</v>
      </c>
      <c r="Q75" s="66" t="e">
        <f>IF(P75=#REF!,"0",(P75/$P$16))</f>
        <v>#REF!</v>
      </c>
      <c r="S75" s="173">
        <f>E75</f>
        <v>1.4E-3</v>
      </c>
      <c r="T75" s="57" t="e">
        <f ca="1">IF(T75=#REF!,"0",$J$4/T75)</f>
        <v>#DIV/0!</v>
      </c>
      <c r="U75" s="57" t="e">
        <f t="shared" ref="U75:U79" si="37">(($J$4*V75)/100)</f>
        <v>#VALUE!</v>
      </c>
      <c r="V75" s="305" t="e">
        <f>IF($E$4&gt;10,HLOOKUP($E$4,COMPOSITTIONS!A:V,4,FALSE),#REF!)</f>
        <v>#N/A</v>
      </c>
      <c r="W75" s="278" t="e">
        <f>IF($F$4&lt;&gt;"",(HLOOKUP($F$4,COMPOSITTIONS!$D$2:$AA$66,61,FALSE)),#REF!)</f>
        <v>#REF!</v>
      </c>
      <c r="X75" s="278" t="e">
        <f t="shared" ref="X75:X79" si="38">((W75/100)*$J$4)</f>
        <v>#REF!</v>
      </c>
      <c r="Y75" s="57" t="e">
        <f t="shared" si="4"/>
        <v>#REF!</v>
      </c>
      <c r="Z75" s="55" t="e">
        <f>IF(Y75=#REF!,"0",(Y75/$Y$16))</f>
        <v>#REF!</v>
      </c>
      <c r="AB75" s="303" t="str">
        <f>IF($E$6=83,(C75/1000),"")</f>
        <v/>
      </c>
      <c r="AC75" s="282" t="str">
        <f t="shared" si="12"/>
        <v/>
      </c>
      <c r="AD75" s="278" t="str">
        <f t="shared" si="36"/>
        <v/>
      </c>
      <c r="AE75" s="302" t="str">
        <f t="shared" si="5"/>
        <v/>
      </c>
      <c r="AF75" s="278" t="str">
        <f t="shared" si="13"/>
        <v/>
      </c>
      <c r="AH75" s="303" t="str">
        <f>IF($E$7=83,(C75/1000),"")</f>
        <v/>
      </c>
      <c r="AI75" s="206" t="str">
        <f t="shared" si="14"/>
        <v/>
      </c>
      <c r="AJ75" s="278" t="str">
        <f t="shared" si="15"/>
        <v/>
      </c>
      <c r="AK75" s="302" t="str">
        <f t="shared" si="16"/>
        <v/>
      </c>
      <c r="AL75" s="278" t="str">
        <f t="shared" si="17"/>
        <v/>
      </c>
      <c r="AN75" s="303" t="str">
        <f>IF($E$8=83,(C75/1000),"")</f>
        <v/>
      </c>
      <c r="AO75" s="206" t="str">
        <f t="shared" si="18"/>
        <v/>
      </c>
      <c r="AP75" s="278" t="str">
        <f t="shared" si="19"/>
        <v/>
      </c>
      <c r="AQ75" s="302" t="str">
        <f t="shared" si="20"/>
        <v/>
      </c>
      <c r="AR75" s="278" t="str">
        <f t="shared" si="21"/>
        <v/>
      </c>
      <c r="AS75" s="34"/>
      <c r="AT75" s="203" t="str">
        <f>IF($E$9=83,(C75/1000),"")</f>
        <v/>
      </c>
      <c r="AU75" s="268" t="str">
        <f t="shared" si="22"/>
        <v/>
      </c>
      <c r="AV75" s="275" t="str">
        <f t="shared" si="23"/>
        <v/>
      </c>
      <c r="AW75" s="292" t="str">
        <f t="shared" si="24"/>
        <v/>
      </c>
      <c r="AX75" s="290" t="str">
        <f t="shared" si="25"/>
        <v/>
      </c>
      <c r="AY75" s="34"/>
      <c r="AZ75" s="203" t="str">
        <f>IF($E$10=83,(C75/1000),"")</f>
        <v/>
      </c>
      <c r="BA75" s="268" t="str">
        <f t="shared" si="26"/>
        <v/>
      </c>
      <c r="BB75" s="275" t="str">
        <f t="shared" si="27"/>
        <v/>
      </c>
      <c r="BC75" s="292" t="str">
        <f t="shared" si="28"/>
        <v/>
      </c>
      <c r="BD75" s="290" t="str">
        <f t="shared" si="29"/>
        <v/>
      </c>
      <c r="BE75" s="34"/>
      <c r="BF75" s="296" t="str">
        <f>IF($E$11=83,(C75/1000),"")</f>
        <v/>
      </c>
      <c r="BG75" s="267" t="str">
        <f t="shared" si="30"/>
        <v/>
      </c>
      <c r="BH75" s="275" t="str">
        <f t="shared" si="31"/>
        <v/>
      </c>
      <c r="BI75" s="292" t="str">
        <f t="shared" si="32"/>
        <v/>
      </c>
      <c r="BJ75" s="55" t="str">
        <f t="shared" si="33"/>
        <v/>
      </c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</row>
    <row r="76" spans="1:83" ht="15.75" thickBot="1" x14ac:dyDescent="0.3">
      <c r="A76" s="34" t="b">
        <f t="shared" si="6"/>
        <v>0</v>
      </c>
      <c r="B76" s="61">
        <f>COMPOSITTIONS!A63</f>
        <v>84</v>
      </c>
      <c r="C76" s="282">
        <f>COMPOSITTIONS!B63</f>
        <v>1.8</v>
      </c>
      <c r="D76" s="284" t="str">
        <f>COMPOSITTIONS!C63</f>
        <v>Trèfle violet 2n</v>
      </c>
      <c r="E76" s="276">
        <f t="shared" si="3"/>
        <v>1.8E-3</v>
      </c>
      <c r="F76" s="278" t="e">
        <f>(#REF!+O76+AE76+AJ76+AP76+AV76+BB76+BH76+X76)</f>
        <v>#REF!</v>
      </c>
      <c r="G76" s="271" t="e">
        <f t="shared" si="34"/>
        <v>#REF!</v>
      </c>
      <c r="H76" s="275" t="e">
        <f>(BI76+BC76+AW76+AQ76+AK76+AF76+P76)</f>
        <v>#VALUE!</v>
      </c>
      <c r="I76" s="271" t="e">
        <f t="shared" si="35"/>
        <v>#VALUE!</v>
      </c>
      <c r="M76" s="144">
        <f t="shared" si="8"/>
        <v>1.8E-3</v>
      </c>
      <c r="N76" s="58">
        <f>IF($F$3&lt;&gt;"",(HLOOKUP($F$3,COMPOSITTIONS!$D$2:$AA$66,62,FALSE)),#REF!)</f>
        <v>0</v>
      </c>
      <c r="O76" s="54">
        <f t="shared" si="9"/>
        <v>0</v>
      </c>
      <c r="P76" s="54">
        <f>(O76*1000)/M76</f>
        <v>0</v>
      </c>
      <c r="Q76" s="66" t="e">
        <f>IF(P76=#REF!,"0",(P76/$P$16))</f>
        <v>#REF!</v>
      </c>
      <c r="S76" s="173">
        <f>E76</f>
        <v>1.8E-3</v>
      </c>
      <c r="T76" s="57" t="e">
        <f ca="1">IF(T76=#REF!,"0",$J$4/T76)</f>
        <v>#DIV/0!</v>
      </c>
      <c r="U76" s="57" t="e">
        <f t="shared" si="37"/>
        <v>#VALUE!</v>
      </c>
      <c r="V76" s="305" t="e">
        <f>IF($E$4&gt;10,HLOOKUP($E$4,COMPOSITTIONS!A:V,4,FALSE),#REF!)</f>
        <v>#N/A</v>
      </c>
      <c r="W76" s="278" t="e">
        <f>IF($F$4&lt;&gt;"",(HLOOKUP($F$4,COMPOSITTIONS!$D$2:$AA$66,62,FALSE)),#REF!)</f>
        <v>#REF!</v>
      </c>
      <c r="X76" s="278" t="e">
        <f t="shared" si="38"/>
        <v>#REF!</v>
      </c>
      <c r="Y76" s="57" t="e">
        <f t="shared" si="4"/>
        <v>#REF!</v>
      </c>
      <c r="Z76" s="55" t="e">
        <f>IF(Y76=#REF!,"0",(Y76/$Y$16))</f>
        <v>#REF!</v>
      </c>
      <c r="AB76" s="303" t="str">
        <f>IF($E$6=84,(C76/1000),"")</f>
        <v/>
      </c>
      <c r="AC76" s="282" t="str">
        <f t="shared" si="12"/>
        <v/>
      </c>
      <c r="AD76" s="278" t="str">
        <f t="shared" si="36"/>
        <v/>
      </c>
      <c r="AE76" s="302" t="str">
        <f t="shared" si="5"/>
        <v/>
      </c>
      <c r="AF76" s="278" t="str">
        <f t="shared" si="13"/>
        <v/>
      </c>
      <c r="AH76" s="303" t="str">
        <f>IF($E$7=84,(C76/1000),"")</f>
        <v/>
      </c>
      <c r="AI76" s="206" t="str">
        <f t="shared" si="14"/>
        <v/>
      </c>
      <c r="AJ76" s="278" t="str">
        <f t="shared" si="15"/>
        <v/>
      </c>
      <c r="AK76" s="302" t="str">
        <f t="shared" si="16"/>
        <v/>
      </c>
      <c r="AL76" s="278" t="str">
        <f t="shared" si="17"/>
        <v/>
      </c>
      <c r="AN76" s="303" t="str">
        <f>IF($E$8=84,(C76/1000),"")</f>
        <v/>
      </c>
      <c r="AO76" s="206" t="str">
        <f t="shared" si="18"/>
        <v/>
      </c>
      <c r="AP76" s="278" t="str">
        <f t="shared" si="19"/>
        <v/>
      </c>
      <c r="AQ76" s="302" t="str">
        <f t="shared" si="20"/>
        <v/>
      </c>
      <c r="AR76" s="278" t="str">
        <f t="shared" si="21"/>
        <v/>
      </c>
      <c r="AT76" s="203" t="str">
        <f>IF($E$9=84,(C76/1000),"")</f>
        <v/>
      </c>
      <c r="AU76" s="268" t="str">
        <f t="shared" si="22"/>
        <v/>
      </c>
      <c r="AV76" s="275" t="str">
        <f t="shared" si="23"/>
        <v/>
      </c>
      <c r="AW76" s="292" t="str">
        <f t="shared" si="24"/>
        <v/>
      </c>
      <c r="AX76" s="290" t="str">
        <f t="shared" si="25"/>
        <v/>
      </c>
      <c r="AZ76" s="203" t="str">
        <f>IF($E$10=84,(C76/1000),"")</f>
        <v/>
      </c>
      <c r="BA76" s="268" t="str">
        <f t="shared" si="26"/>
        <v/>
      </c>
      <c r="BB76" s="275" t="str">
        <f t="shared" si="27"/>
        <v/>
      </c>
      <c r="BC76" s="292" t="str">
        <f t="shared" si="28"/>
        <v/>
      </c>
      <c r="BD76" s="290" t="str">
        <f t="shared" si="29"/>
        <v/>
      </c>
      <c r="BF76" s="296" t="str">
        <f>IF($E$11=84,(C76/1000),"")</f>
        <v/>
      </c>
      <c r="BG76" s="267" t="str">
        <f t="shared" si="30"/>
        <v/>
      </c>
      <c r="BH76" s="275" t="str">
        <f t="shared" si="31"/>
        <v/>
      </c>
      <c r="BI76" s="292" t="str">
        <f t="shared" si="32"/>
        <v/>
      </c>
      <c r="BJ76" s="55" t="str">
        <f t="shared" si="33"/>
        <v/>
      </c>
    </row>
    <row r="77" spans="1:83" ht="15.75" thickBot="1" x14ac:dyDescent="0.3">
      <c r="A77" s="34" t="b">
        <f t="shared" si="6"/>
        <v>0</v>
      </c>
      <c r="B77" s="61">
        <f>COMPOSITTIONS!A64</f>
        <v>85</v>
      </c>
      <c r="C77" s="282">
        <f>COMPOSITTIONS!B64</f>
        <v>3</v>
      </c>
      <c r="D77" s="284" t="str">
        <f>COMPOSITTIONS!C64</f>
        <v>Trèfle violet 4n</v>
      </c>
      <c r="E77" s="276">
        <f t="shared" si="3"/>
        <v>3.0000000000000001E-3</v>
      </c>
      <c r="F77" s="278" t="e">
        <f>(#REF!+O77+AE77+AJ77+AP77+AV77+BB77+BH77+X77)</f>
        <v>#REF!</v>
      </c>
      <c r="G77" s="271" t="e">
        <f t="shared" si="34"/>
        <v>#REF!</v>
      </c>
      <c r="H77" s="275" t="e">
        <f>(BI77+BC77+AW77+AQ77+AK77+AF77+P77)</f>
        <v>#VALUE!</v>
      </c>
      <c r="I77" s="271" t="e">
        <f t="shared" si="35"/>
        <v>#VALUE!</v>
      </c>
      <c r="M77" s="144">
        <f t="shared" si="8"/>
        <v>3.0000000000000001E-3</v>
      </c>
      <c r="N77" s="58">
        <f>IF($F$3&lt;&gt;"",(HLOOKUP($F$3,COMPOSITTIONS!$D$2:$AA$66,63,FALSE)),#REF!)</f>
        <v>0</v>
      </c>
      <c r="O77" s="54">
        <f t="shared" si="9"/>
        <v>0</v>
      </c>
      <c r="P77" s="54">
        <f>(O77*1000)/M77</f>
        <v>0</v>
      </c>
      <c r="Q77" s="66" t="e">
        <f>IF(P77=#REF!,"0",(P77/$P$16))</f>
        <v>#REF!</v>
      </c>
      <c r="S77" s="173">
        <f>E77</f>
        <v>3.0000000000000001E-3</v>
      </c>
      <c r="T77" s="57" t="e">
        <f ca="1">IF(T77=#REF!,"0",$J$4/T77)</f>
        <v>#DIV/0!</v>
      </c>
      <c r="U77" s="57" t="e">
        <f t="shared" si="37"/>
        <v>#VALUE!</v>
      </c>
      <c r="V77" s="305" t="e">
        <f>IF($E$4&gt;10,HLOOKUP($E$4,COMPOSITTIONS!A:V,4,FALSE),#REF!)</f>
        <v>#N/A</v>
      </c>
      <c r="W77" s="278" t="e">
        <f>IF($F$4&lt;&gt;"",(HLOOKUP($F$4,COMPOSITTIONS!$D$2:$AA$66,63,FALSE)),#REF!)</f>
        <v>#REF!</v>
      </c>
      <c r="X77" s="278" t="e">
        <f t="shared" si="38"/>
        <v>#REF!</v>
      </c>
      <c r="Y77" s="57" t="e">
        <f t="shared" si="4"/>
        <v>#REF!</v>
      </c>
      <c r="Z77" s="55" t="e">
        <f>IF(Y77=#REF!,"0",(Y77/$Y$16))</f>
        <v>#REF!</v>
      </c>
      <c r="AB77" s="303" t="str">
        <f>IF($E$6=85,(C77/1000),"")</f>
        <v/>
      </c>
      <c r="AC77" s="282" t="str">
        <f t="shared" si="12"/>
        <v/>
      </c>
      <c r="AD77" s="278" t="str">
        <f t="shared" si="36"/>
        <v/>
      </c>
      <c r="AE77" s="302" t="str">
        <f t="shared" si="5"/>
        <v/>
      </c>
      <c r="AF77" s="51" t="str">
        <f t="shared" si="13"/>
        <v/>
      </c>
      <c r="AH77" s="303" t="str">
        <f>IF($E$7=85,(C77/1000),"")</f>
        <v/>
      </c>
      <c r="AI77" s="206" t="str">
        <f t="shared" si="14"/>
        <v/>
      </c>
      <c r="AJ77" s="278" t="str">
        <f t="shared" si="15"/>
        <v/>
      </c>
      <c r="AK77" s="302" t="str">
        <f t="shared" si="16"/>
        <v/>
      </c>
      <c r="AL77" s="278" t="str">
        <f t="shared" si="17"/>
        <v/>
      </c>
      <c r="AN77" s="303" t="str">
        <f>IF($E$8=85,(C77/1000),"")</f>
        <v/>
      </c>
      <c r="AO77" s="206" t="str">
        <f t="shared" si="18"/>
        <v/>
      </c>
      <c r="AP77" s="278" t="str">
        <f t="shared" si="19"/>
        <v/>
      </c>
      <c r="AQ77" s="302" t="str">
        <f t="shared" si="20"/>
        <v/>
      </c>
      <c r="AR77" s="278" t="str">
        <f t="shared" si="21"/>
        <v/>
      </c>
      <c r="AT77" s="203" t="str">
        <f>IF($E$9=85,(C77/1000),"")</f>
        <v/>
      </c>
      <c r="AU77" s="268" t="str">
        <f t="shared" si="22"/>
        <v/>
      </c>
      <c r="AV77" s="275" t="str">
        <f t="shared" si="23"/>
        <v/>
      </c>
      <c r="AW77" s="292" t="str">
        <f t="shared" si="24"/>
        <v/>
      </c>
      <c r="AX77" s="290" t="str">
        <f t="shared" si="25"/>
        <v/>
      </c>
      <c r="AZ77" s="203" t="str">
        <f>IF($E$10=85,(C77/1000),"")</f>
        <v/>
      </c>
      <c r="BA77" s="268" t="str">
        <f t="shared" si="26"/>
        <v/>
      </c>
      <c r="BB77" s="275" t="str">
        <f t="shared" si="27"/>
        <v/>
      </c>
      <c r="BC77" s="292" t="str">
        <f t="shared" si="28"/>
        <v/>
      </c>
      <c r="BD77" s="290" t="str">
        <f t="shared" si="29"/>
        <v/>
      </c>
      <c r="BF77" s="296" t="str">
        <f>IF($E$11=85,(C77/1000),"")</f>
        <v/>
      </c>
      <c r="BG77" s="267" t="str">
        <f t="shared" si="30"/>
        <v/>
      </c>
      <c r="BH77" s="275" t="str">
        <f t="shared" si="31"/>
        <v/>
      </c>
      <c r="BI77" s="292" t="str">
        <f t="shared" si="32"/>
        <v/>
      </c>
      <c r="BJ77" s="55" t="str">
        <f t="shared" si="33"/>
        <v/>
      </c>
    </row>
    <row r="78" spans="1:83" ht="15.75" thickBot="1" x14ac:dyDescent="0.3">
      <c r="A78" s="34" t="b">
        <f t="shared" si="6"/>
        <v>0</v>
      </c>
      <c r="B78" s="61">
        <f>COMPOSITTIONS!A65</f>
        <v>86</v>
      </c>
      <c r="C78" s="282">
        <f>COMPOSITTIONS!B65</f>
        <v>60</v>
      </c>
      <c r="D78" s="284" t="str">
        <f>COMPOSITTIONS!C65</f>
        <v>Vesce commune</v>
      </c>
      <c r="E78" s="276">
        <f t="shared" si="3"/>
        <v>0.06</v>
      </c>
      <c r="F78" s="278" t="e">
        <f>(#REF!+O78+AE78+AJ78+AP78+AV78+BB78+BH78+X78)</f>
        <v>#REF!</v>
      </c>
      <c r="G78" s="271" t="e">
        <f t="shared" si="34"/>
        <v>#REF!</v>
      </c>
      <c r="H78" s="275" t="e">
        <f>(BI78+BC78+AW78+AQ78+AK78+AF78+P78)</f>
        <v>#VALUE!</v>
      </c>
      <c r="I78" s="271" t="e">
        <f t="shared" si="35"/>
        <v>#VALUE!</v>
      </c>
      <c r="M78" s="144">
        <f t="shared" si="8"/>
        <v>0.06</v>
      </c>
      <c r="N78" s="63">
        <f>IF($F$3&lt;&gt;"",(HLOOKUP($F$3,COMPOSITTIONS!$D$2:$AA$66,64,FALSE)),#REF!)</f>
        <v>0</v>
      </c>
      <c r="O78" s="54">
        <f t="shared" si="9"/>
        <v>0</v>
      </c>
      <c r="P78" s="54">
        <f>(O78*1000)/M78</f>
        <v>0</v>
      </c>
      <c r="Q78" s="64" t="e">
        <f>IF(P78=#REF!,"0",(P78/$P$16))</f>
        <v>#REF!</v>
      </c>
      <c r="S78" s="173">
        <f>E78</f>
        <v>0.06</v>
      </c>
      <c r="T78" s="57" t="e">
        <f ca="1">IF(T78=#REF!,"0",$J$4/T78)</f>
        <v>#DIV/0!</v>
      </c>
      <c r="U78" s="57" t="e">
        <f t="shared" si="37"/>
        <v>#VALUE!</v>
      </c>
      <c r="V78" s="305" t="e">
        <f>IF($E$4&gt;10,HLOOKUP($E$4,COMPOSITTIONS!A:V,4,FALSE),#REF!)</f>
        <v>#N/A</v>
      </c>
      <c r="W78" s="278" t="e">
        <f>IF($F$4&lt;&gt;"",(HLOOKUP($F$4,COMPOSITTIONS!$D$2:$AA$66,64,FALSE)),#REF!)</f>
        <v>#REF!</v>
      </c>
      <c r="X78" s="278" t="e">
        <f t="shared" si="38"/>
        <v>#REF!</v>
      </c>
      <c r="Y78" s="57" t="e">
        <f t="shared" si="4"/>
        <v>#REF!</v>
      </c>
      <c r="Z78" s="55" t="e">
        <f>IF(Y78=#REF!,"0",(Y78/$Y$16))</f>
        <v>#REF!</v>
      </c>
      <c r="AB78" s="303" t="str">
        <f>IF($E$6=86,(C78/1000),"")</f>
        <v/>
      </c>
      <c r="AC78" s="282" t="str">
        <f t="shared" si="12"/>
        <v/>
      </c>
      <c r="AD78" s="278" t="str">
        <f t="shared" si="36"/>
        <v/>
      </c>
      <c r="AE78" s="204" t="str">
        <f t="shared" si="5"/>
        <v/>
      </c>
      <c r="AF78" s="209" t="str">
        <f t="shared" si="13"/>
        <v/>
      </c>
      <c r="AH78" s="303" t="str">
        <f>IF($E$7=86,(C78/1000),"")</f>
        <v/>
      </c>
      <c r="AI78" s="206" t="str">
        <f t="shared" si="14"/>
        <v/>
      </c>
      <c r="AJ78" s="278" t="str">
        <f t="shared" si="15"/>
        <v/>
      </c>
      <c r="AK78" s="302" t="str">
        <f t="shared" si="16"/>
        <v/>
      </c>
      <c r="AL78" s="278" t="str">
        <f t="shared" si="17"/>
        <v/>
      </c>
      <c r="AN78" s="303" t="str">
        <f>IF($E$8=86,(C78/1000),"")</f>
        <v/>
      </c>
      <c r="AO78" s="206" t="str">
        <f t="shared" si="18"/>
        <v/>
      </c>
      <c r="AP78" s="278" t="str">
        <f t="shared" si="19"/>
        <v/>
      </c>
      <c r="AQ78" s="302" t="str">
        <f t="shared" si="20"/>
        <v/>
      </c>
      <c r="AR78" s="278" t="str">
        <f t="shared" si="21"/>
        <v/>
      </c>
      <c r="AT78" s="210" t="str">
        <f>IF($E$9=86,(C78/1000),"")</f>
        <v/>
      </c>
      <c r="AU78" s="267" t="str">
        <f t="shared" si="22"/>
        <v/>
      </c>
      <c r="AV78" s="275" t="str">
        <f t="shared" si="23"/>
        <v/>
      </c>
      <c r="AW78" s="292" t="str">
        <f t="shared" si="24"/>
        <v/>
      </c>
      <c r="AX78" s="290" t="str">
        <f t="shared" si="25"/>
        <v/>
      </c>
      <c r="AZ78" s="203" t="str">
        <f>IF($E$10=86,(C78/1000),"")</f>
        <v/>
      </c>
      <c r="BA78" s="268" t="str">
        <f t="shared" si="26"/>
        <v/>
      </c>
      <c r="BB78" s="275" t="str">
        <f t="shared" si="27"/>
        <v/>
      </c>
      <c r="BC78" s="292" t="str">
        <f t="shared" si="28"/>
        <v/>
      </c>
      <c r="BD78" s="290" t="str">
        <f t="shared" si="29"/>
        <v/>
      </c>
      <c r="BF78" s="296" t="str">
        <f>IF($E$11=86,(C78/1000),"")</f>
        <v/>
      </c>
      <c r="BG78" s="267" t="str">
        <f t="shared" si="30"/>
        <v/>
      </c>
      <c r="BH78" s="275" t="str">
        <f t="shared" si="31"/>
        <v/>
      </c>
      <c r="BI78" s="292" t="str">
        <f t="shared" si="32"/>
        <v/>
      </c>
      <c r="BJ78" s="55" t="str">
        <f t="shared" si="33"/>
        <v/>
      </c>
    </row>
    <row r="79" spans="1:83" ht="15.75" thickBot="1" x14ac:dyDescent="0.3">
      <c r="A79" s="34" t="b">
        <f t="shared" si="6"/>
        <v>0</v>
      </c>
      <c r="B79" s="61">
        <f>COMPOSITTIONS!A66</f>
        <v>87</v>
      </c>
      <c r="C79" s="283">
        <f>COMPOSITTIONS!B66</f>
        <v>28</v>
      </c>
      <c r="D79" s="285" t="str">
        <f>COMPOSITTIONS!C66</f>
        <v>Vesce velue</v>
      </c>
      <c r="E79" s="277">
        <f t="shared" si="3"/>
        <v>2.8000000000000001E-2</v>
      </c>
      <c r="F79" s="51" t="e">
        <f>(#REF!+O79+AE79+AJ79+AP79+AV79+BB79+BH79+X79)</f>
        <v>#REF!</v>
      </c>
      <c r="G79" s="272" t="e">
        <f t="shared" si="34"/>
        <v>#REF!</v>
      </c>
      <c r="H79" s="208" t="e">
        <f>(BI79+BC79+AW79+AQ79+AK79+AF79+P79)</f>
        <v>#VALUE!</v>
      </c>
      <c r="I79" s="272" t="e">
        <f t="shared" si="35"/>
        <v>#VALUE!</v>
      </c>
      <c r="M79" s="144">
        <f t="shared" si="8"/>
        <v>2.8000000000000001E-2</v>
      </c>
      <c r="N79" s="65">
        <f>IF($F$3&lt;&gt;"",(HLOOKUP($F$3,COMPOSITTIONS!$D$2:$AA$66,65,FALSE)),#REF!)</f>
        <v>0</v>
      </c>
      <c r="O79" s="54">
        <f t="shared" si="9"/>
        <v>0</v>
      </c>
      <c r="P79" s="54">
        <f>(O79*1000)/M79</f>
        <v>0</v>
      </c>
      <c r="Q79" s="66" t="e">
        <f>IF(P79=#REF!,"0",(P79/$P$16))</f>
        <v>#REF!</v>
      </c>
      <c r="S79" s="304">
        <f>E79</f>
        <v>2.8000000000000001E-2</v>
      </c>
      <c r="T79" s="57" t="e">
        <f ca="1">IF(T79=#REF!,"0",$J$4/T79)</f>
        <v>#DIV/0!</v>
      </c>
      <c r="U79" s="57" t="e">
        <f t="shared" si="37"/>
        <v>#VALUE!</v>
      </c>
      <c r="V79" s="305" t="e">
        <f>IF($E$4&gt;10,HLOOKUP($E$4,COMPOSITTIONS!A:V,4,FALSE),#REF!)</f>
        <v>#N/A</v>
      </c>
      <c r="W79" s="51" t="e">
        <f>IF($F$4&lt;&gt;"",(HLOOKUP($F$4,COMPOSITTIONS!$D$2:$AA$66,65,FALSE)),#REF!)</f>
        <v>#REF!</v>
      </c>
      <c r="X79" s="51" t="e">
        <f t="shared" si="38"/>
        <v>#REF!</v>
      </c>
      <c r="Y79" s="57" t="e">
        <f t="shared" si="4"/>
        <v>#REF!</v>
      </c>
      <c r="Z79" s="55" t="e">
        <f>IF(Y79=#REF!,"0",(Y79/$Y$16))</f>
        <v>#REF!</v>
      </c>
      <c r="AB79" s="296" t="str">
        <f>IF($E$6=87,(C79/1000),"")</f>
        <v/>
      </c>
      <c r="AC79" s="283" t="str">
        <f t="shared" si="12"/>
        <v/>
      </c>
      <c r="AD79" s="51" t="str">
        <f t="shared" si="36"/>
        <v/>
      </c>
      <c r="AE79" s="212" t="str">
        <f t="shared" si="5"/>
        <v/>
      </c>
      <c r="AF79" s="213" t="str">
        <f t="shared" si="13"/>
        <v/>
      </c>
      <c r="AH79" s="296" t="str">
        <f>IF($E$7=87,(C79/1000),"")</f>
        <v/>
      </c>
      <c r="AI79" s="211" t="str">
        <f t="shared" si="14"/>
        <v/>
      </c>
      <c r="AJ79" s="51" t="str">
        <f t="shared" si="15"/>
        <v/>
      </c>
      <c r="AK79" s="286" t="str">
        <f t="shared" si="16"/>
        <v/>
      </c>
      <c r="AL79" s="51" t="str">
        <f t="shared" si="17"/>
        <v/>
      </c>
      <c r="AN79" s="296" t="str">
        <f>IF($E$8=87,(C79/1000),"")</f>
        <v/>
      </c>
      <c r="AO79" s="211" t="str">
        <f t="shared" si="18"/>
        <v/>
      </c>
      <c r="AP79" s="51" t="str">
        <f t="shared" si="19"/>
        <v/>
      </c>
      <c r="AQ79" s="286" t="str">
        <f t="shared" si="20"/>
        <v/>
      </c>
      <c r="AR79" s="51" t="str">
        <f t="shared" si="21"/>
        <v/>
      </c>
      <c r="AT79" s="296" t="str">
        <f>IF($E$9=87,(C79/1000),"")</f>
        <v/>
      </c>
      <c r="AU79" s="267" t="str">
        <f t="shared" si="22"/>
        <v/>
      </c>
      <c r="AV79" s="202" t="str">
        <f t="shared" si="23"/>
        <v/>
      </c>
      <c r="AW79" s="293" t="str">
        <f t="shared" si="24"/>
        <v/>
      </c>
      <c r="AX79" s="291" t="str">
        <f t="shared" si="25"/>
        <v/>
      </c>
      <c r="AZ79" s="210" t="str">
        <f>IF($E$10=87,(C79/1000),"")</f>
        <v/>
      </c>
      <c r="BA79" s="267" t="str">
        <f t="shared" si="26"/>
        <v/>
      </c>
      <c r="BB79" s="208" t="str">
        <f t="shared" si="27"/>
        <v/>
      </c>
      <c r="BC79" s="293" t="str">
        <f t="shared" si="28"/>
        <v/>
      </c>
      <c r="BD79" s="291" t="str">
        <f t="shared" si="29"/>
        <v/>
      </c>
      <c r="BF79" s="296" t="str">
        <f>IF($E$11=87,(C79/1000),"")</f>
        <v/>
      </c>
      <c r="BG79" s="267" t="str">
        <f t="shared" si="30"/>
        <v/>
      </c>
      <c r="BH79" s="51" t="str">
        <f t="shared" si="31"/>
        <v/>
      </c>
      <c r="BI79" s="293" t="str">
        <f t="shared" si="32"/>
        <v/>
      </c>
      <c r="BJ79" s="272" t="str">
        <f t="shared" si="33"/>
        <v/>
      </c>
    </row>
    <row r="80" spans="1:83" x14ac:dyDescent="0.25">
      <c r="C80" s="111"/>
      <c r="D80" s="162"/>
      <c r="N80" s="56"/>
    </row>
    <row r="81" spans="3:4" x14ac:dyDescent="0.25">
      <c r="C81" s="111"/>
      <c r="D81" s="162"/>
    </row>
    <row r="82" spans="3:4" x14ac:dyDescent="0.25">
      <c r="C82" s="30"/>
      <c r="D82" s="30"/>
    </row>
    <row r="83" spans="3:4" x14ac:dyDescent="0.25">
      <c r="C83" s="30"/>
      <c r="D83" s="30"/>
    </row>
    <row r="84" spans="3:4" x14ac:dyDescent="0.25">
      <c r="C84" s="30"/>
      <c r="D84" s="30"/>
    </row>
    <row r="85" spans="3:4" x14ac:dyDescent="0.25">
      <c r="C85" s="30"/>
      <c r="D85" s="30"/>
    </row>
    <row r="86" spans="3:4" x14ac:dyDescent="0.25">
      <c r="C86" s="30"/>
      <c r="D86" s="30"/>
    </row>
    <row r="87" spans="3:4" x14ac:dyDescent="0.25">
      <c r="C87" s="30"/>
      <c r="D87" s="30"/>
    </row>
  </sheetData>
  <sortState caseSensitive="1" ref="C48:D56">
    <sortCondition ref="D48:D56"/>
  </sortState>
  <mergeCells count="20">
    <mergeCell ref="F5:I5"/>
    <mergeCell ref="F4:I4"/>
    <mergeCell ref="S13:Z14"/>
    <mergeCell ref="AZ13:BD14"/>
    <mergeCell ref="BF13:BJ14"/>
    <mergeCell ref="B1:K1"/>
    <mergeCell ref="B13:D13"/>
    <mergeCell ref="AT13:AX14"/>
    <mergeCell ref="AB13:AF14"/>
    <mergeCell ref="AN13:AR14"/>
    <mergeCell ref="F3:I3"/>
    <mergeCell ref="F6:I6"/>
    <mergeCell ref="F7:I7"/>
    <mergeCell ref="F8:I8"/>
    <mergeCell ref="F9:I9"/>
    <mergeCell ref="F10:I10"/>
    <mergeCell ref="F11:I11"/>
    <mergeCell ref="F13:H13"/>
    <mergeCell ref="M13:Q14"/>
    <mergeCell ref="AH13:AL14"/>
  </mergeCells>
  <conditionalFormatting sqref="E13">
    <cfRule type="cellIs" dxfId="0" priority="1" operator="greaterThan">
      <formula>0.5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FEUILLE DE DONNEES</vt:lpstr>
      <vt:lpstr>COMPOSITTIONS</vt:lpstr>
      <vt:lpstr>CACHER</vt:lpstr>
      <vt:lpstr>especes</vt:lpstr>
      <vt:lpstr>NUMEROCLASSEMENTCOMPO</vt:lpstr>
      <vt:lpstr>Reference</vt:lpstr>
      <vt:lpstr>tableaucompo</vt:lpstr>
      <vt:lpstr>TABLEAUCOMPOSITIONS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gaic</dc:creator>
  <cp:lastModifiedBy>gaic</cp:lastModifiedBy>
  <cp:lastPrinted>2016-09-01T16:05:30Z</cp:lastPrinted>
  <dcterms:created xsi:type="dcterms:W3CDTF">2016-06-03T07:01:26Z</dcterms:created>
  <dcterms:modified xsi:type="dcterms:W3CDTF">2018-09-12T11:53:27Z</dcterms:modified>
</cp:coreProperties>
</file>