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journaux" sheetId="1" r:id="rId1"/>
  </sheets>
  <externalReferences>
    <externalReference r:id="rId2"/>
    <externalReference r:id="rId3"/>
  </externalReferences>
  <definedNames>
    <definedName name="_xlnm._FilterDatabase" localSheetId="0" hidden="1">journaux!$M$18:$V$122</definedName>
    <definedName name="Nom_Facturation">[2]redevance!$A$2:$A$51</definedName>
    <definedName name="_xlnm.Print_Area" localSheetId="0">journaux!$M$1:$R$131</definedName>
  </definedNames>
  <calcPr calcId="125725"/>
</workbook>
</file>

<file path=xl/calcChain.xml><?xml version="1.0" encoding="utf-8"?>
<calcChain xmlns="http://schemas.openxmlformats.org/spreadsheetml/2006/main">
  <c r="R122" i="1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U104"/>
  <c r="T104"/>
  <c r="V104" s="1"/>
  <c r="R104"/>
  <c r="Q104"/>
  <c r="P104"/>
  <c r="O104"/>
  <c r="M104"/>
  <c r="U103"/>
  <c r="T103"/>
  <c r="V103" s="1"/>
  <c r="R103"/>
  <c r="Q103"/>
  <c r="P103"/>
  <c r="O103"/>
  <c r="M103"/>
  <c r="U102"/>
  <c r="T102"/>
  <c r="V102" s="1"/>
  <c r="R102"/>
  <c r="Q102"/>
  <c r="P102"/>
  <c r="O102"/>
  <c r="M102"/>
  <c r="U101"/>
  <c r="T101"/>
  <c r="V101" s="1"/>
  <c r="R101"/>
  <c r="Q101"/>
  <c r="P101"/>
  <c r="O101"/>
  <c r="M101"/>
  <c r="U100"/>
  <c r="T100"/>
  <c r="V100" s="1"/>
  <c r="R100"/>
  <c r="Q100"/>
  <c r="P100"/>
  <c r="O100"/>
  <c r="M100"/>
  <c r="U99"/>
  <c r="T99"/>
  <c r="V99" s="1"/>
  <c r="R99"/>
  <c r="Q99"/>
  <c r="P99"/>
  <c r="O99"/>
  <c r="M99"/>
  <c r="U98"/>
  <c r="T98"/>
  <c r="V98" s="1"/>
  <c r="R98"/>
  <c r="Q98"/>
  <c r="P98"/>
  <c r="O98"/>
  <c r="M98"/>
  <c r="U97"/>
  <c r="T97"/>
  <c r="V97" s="1"/>
  <c r="R97"/>
  <c r="Q97"/>
  <c r="P97"/>
  <c r="O97"/>
  <c r="M97"/>
  <c r="U96"/>
  <c r="T96"/>
  <c r="V96" s="1"/>
  <c r="R96"/>
  <c r="Q96"/>
  <c r="P96"/>
  <c r="O96"/>
  <c r="M96"/>
  <c r="U95"/>
  <c r="T95"/>
  <c r="V95" s="1"/>
  <c r="R95"/>
  <c r="Q95"/>
  <c r="P95"/>
  <c r="O95"/>
  <c r="M95"/>
  <c r="U94"/>
  <c r="T94"/>
  <c r="V94" s="1"/>
  <c r="R94"/>
  <c r="Q94"/>
  <c r="P94"/>
  <c r="O94"/>
  <c r="M94"/>
  <c r="U93"/>
  <c r="T93"/>
  <c r="V93" s="1"/>
  <c r="R93"/>
  <c r="Q93"/>
  <c r="P93"/>
  <c r="O93"/>
  <c r="M93"/>
  <c r="U92"/>
  <c r="T92"/>
  <c r="V92" s="1"/>
  <c r="R92"/>
  <c r="Q92"/>
  <c r="P92"/>
  <c r="O92"/>
  <c r="M92"/>
  <c r="U91"/>
  <c r="T91"/>
  <c r="V91" s="1"/>
  <c r="R91"/>
  <c r="Q91"/>
  <c r="P91"/>
  <c r="O91"/>
  <c r="M91"/>
  <c r="U90"/>
  <c r="T90"/>
  <c r="V90" s="1"/>
  <c r="R90"/>
  <c r="Q90"/>
  <c r="P90"/>
  <c r="O90"/>
  <c r="M90"/>
  <c r="U89"/>
  <c r="T89"/>
  <c r="V89" s="1"/>
  <c r="R89"/>
  <c r="Q89"/>
  <c r="P89"/>
  <c r="O89"/>
  <c r="M89"/>
  <c r="U88"/>
  <c r="T88"/>
  <c r="V88" s="1"/>
  <c r="R88"/>
  <c r="Q88"/>
  <c r="P88"/>
  <c r="O88"/>
  <c r="M88"/>
  <c r="U87"/>
  <c r="T87"/>
  <c r="V87" s="1"/>
  <c r="R87"/>
  <c r="Q87"/>
  <c r="P87"/>
  <c r="O87"/>
  <c r="M87"/>
  <c r="U86"/>
  <c r="T86"/>
  <c r="V86" s="1"/>
  <c r="R86"/>
  <c r="Q86"/>
  <c r="P86"/>
  <c r="O86"/>
  <c r="M86"/>
  <c r="U85"/>
  <c r="T85"/>
  <c r="P122" s="1"/>
  <c r="R85"/>
  <c r="Q85"/>
  <c r="P85"/>
  <c r="O85"/>
  <c r="M85"/>
  <c r="Q80"/>
  <c r="P80"/>
  <c r="O80"/>
  <c r="N80"/>
  <c r="V78"/>
  <c r="U78"/>
  <c r="V77"/>
  <c r="U77"/>
  <c r="V76"/>
  <c r="U76"/>
  <c r="V75"/>
  <c r="U75"/>
  <c r="V74"/>
  <c r="U74"/>
  <c r="V73"/>
  <c r="U73"/>
  <c r="U72"/>
  <c r="U71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R61"/>
  <c r="O61"/>
  <c r="V60"/>
  <c r="U60"/>
  <c r="R60"/>
  <c r="O60"/>
  <c r="V59"/>
  <c r="U59"/>
  <c r="V58"/>
  <c r="U58"/>
  <c r="V57"/>
  <c r="U57"/>
  <c r="V56"/>
  <c r="U56"/>
  <c r="V55"/>
  <c r="U55"/>
  <c r="R55"/>
  <c r="O55"/>
  <c r="V54"/>
  <c r="U54"/>
  <c r="V53"/>
  <c r="U53"/>
  <c r="V52"/>
  <c r="U52"/>
  <c r="V51"/>
  <c r="U51"/>
  <c r="Q51"/>
  <c r="O51"/>
  <c r="R51" s="1"/>
  <c r="N51"/>
  <c r="V50"/>
  <c r="U50"/>
  <c r="R50"/>
  <c r="Q50"/>
  <c r="O50"/>
  <c r="N50"/>
  <c r="V49"/>
  <c r="U49"/>
  <c r="Q49"/>
  <c r="O49"/>
  <c r="R49" s="1"/>
  <c r="N49"/>
  <c r="V48"/>
  <c r="U48"/>
  <c r="R48"/>
  <c r="Q48"/>
  <c r="O48"/>
  <c r="N48"/>
  <c r="V47"/>
  <c r="U47"/>
  <c r="V46"/>
  <c r="U46"/>
  <c r="R46"/>
  <c r="P46"/>
  <c r="V45"/>
  <c r="U45"/>
  <c r="V44"/>
  <c r="U44"/>
  <c r="V43"/>
  <c r="U43"/>
  <c r="V42"/>
  <c r="U42"/>
  <c r="V41"/>
  <c r="U41"/>
  <c r="V40"/>
  <c r="U40"/>
  <c r="V39"/>
  <c r="U39"/>
  <c r="V38"/>
  <c r="U38"/>
  <c r="R38"/>
  <c r="R80" s="1"/>
  <c r="R124" s="1"/>
  <c r="R126" s="1"/>
  <c r="O38"/>
  <c r="V37"/>
  <c r="U37"/>
  <c r="V36"/>
  <c r="U36"/>
  <c r="V35"/>
  <c r="U35"/>
  <c r="V34"/>
  <c r="U34"/>
  <c r="R34"/>
  <c r="Q34"/>
  <c r="O34"/>
  <c r="N34"/>
  <c r="V33"/>
  <c r="U33"/>
  <c r="Q33"/>
  <c r="O33"/>
  <c r="R33" s="1"/>
  <c r="N33"/>
  <c r="V32"/>
  <c r="U32"/>
  <c r="R32"/>
  <c r="Q32"/>
  <c r="O32"/>
  <c r="N32"/>
  <c r="V31"/>
  <c r="U31"/>
  <c r="Q31"/>
  <c r="O31"/>
  <c r="R31" s="1"/>
  <c r="N31"/>
  <c r="V30"/>
  <c r="U30"/>
  <c r="V29"/>
  <c r="U29"/>
  <c r="R29"/>
  <c r="O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O19"/>
  <c r="R19" s="1"/>
  <c r="N16"/>
  <c r="AG10" s="1"/>
  <c r="M14"/>
  <c r="M13"/>
  <c r="M12"/>
  <c r="AG11"/>
  <c r="AH10"/>
  <c r="AE1"/>
  <c r="R128" l="1"/>
  <c r="R131" s="1"/>
  <c r="R129"/>
  <c r="Q122"/>
  <c r="V85"/>
  <c r="O122"/>
  <c r="N82"/>
  <c r="AE10"/>
  <c r="AF10" s="1"/>
  <c r="AF11" l="1"/>
  <c r="R83"/>
  <c r="M83"/>
</calcChain>
</file>

<file path=xl/sharedStrings.xml><?xml version="1.0" encoding="utf-8"?>
<sst xmlns="http://schemas.openxmlformats.org/spreadsheetml/2006/main" count="238" uniqueCount="113">
  <si>
    <t>Nom Facturation</t>
  </si>
  <si>
    <t>Nom contact</t>
  </si>
  <si>
    <t>Adresse</t>
  </si>
  <si>
    <t>Ville et province</t>
  </si>
  <si>
    <t>Code Pays</t>
  </si>
  <si>
    <t>SommeDeRemb</t>
  </si>
  <si>
    <t>Frais Bancaires</t>
  </si>
  <si>
    <t>Email</t>
  </si>
  <si>
    <t>TPS</t>
  </si>
  <si>
    <t>TVQ</t>
  </si>
  <si>
    <t>JOURNAL LA TRIBUNE DE SHERBROOKE</t>
  </si>
  <si>
    <t xml:space="preserve">1950, rue Roy - </t>
  </si>
  <si>
    <t>Sherbrooke, Qc</t>
  </si>
  <si>
    <t>J1K 2X8 - Canada</t>
  </si>
  <si>
    <t>n</t>
  </si>
  <si>
    <t>creditdirect@lesoleil.com</t>
  </si>
  <si>
    <t>O</t>
  </si>
  <si>
    <t>JOURNAL LA VOIX DE L'EST</t>
  </si>
  <si>
    <t xml:space="preserve">76, rue Dufferin - </t>
  </si>
  <si>
    <t>Granby, Qc</t>
  </si>
  <si>
    <t>J2L 9L4 - Canada</t>
  </si>
  <si>
    <t>Journal Le Droit</t>
  </si>
  <si>
    <t xml:space="preserve">47 rue Clareme Ste 222 - </t>
  </si>
  <si>
    <t>Ottawa, Ontario</t>
  </si>
  <si>
    <t>K1G 3J9 - Canada</t>
  </si>
  <si>
    <t>JOURNAL LE NOUVELLISTE (1982) LTEE</t>
  </si>
  <si>
    <t xml:space="preserve">1920, rue Bellefeuille - </t>
  </si>
  <si>
    <t>Trois-Rivières. Qc</t>
  </si>
  <si>
    <t>G9A 3Y2 - Canada</t>
  </si>
  <si>
    <t>JOURNAL LE QUOTIDIEN (PROGRES-DIMANCHE)</t>
  </si>
  <si>
    <t xml:space="preserve">1051, Boul. Talbot - </t>
  </si>
  <si>
    <t>Chicoutimi, Qc</t>
  </si>
  <si>
    <t>G7C 5C1 - Canada</t>
  </si>
  <si>
    <t>JOURNAL LE SOLEIL</t>
  </si>
  <si>
    <t xml:space="preserve">925, ch. St-Louis, C.P. 1547 - </t>
  </si>
  <si>
    <t>Québec, Qc</t>
  </si>
  <si>
    <t>G1K 7J6 - Canada</t>
  </si>
  <si>
    <t>Promotion G&amp;P (Match Phone)</t>
  </si>
  <si>
    <t xml:space="preserve">84, rue Richelieu, C.P. 460 - </t>
  </si>
  <si>
    <t>St-Jean-Sur-Richelieu, Qc</t>
  </si>
  <si>
    <t>J3B 6X3 - Canada</t>
  </si>
  <si>
    <t xml:space="preserve">veronique.cloutier@tc.tc, anne.ouellette@tc.tc </t>
  </si>
  <si>
    <t>Partenaire/ Partner</t>
  </si>
  <si>
    <t>Redevances</t>
  </si>
  <si>
    <t>Fait le :19/08/2017</t>
  </si>
  <si>
    <t>Revenus Téléphoniques du mois de</t>
  </si>
  <si>
    <t>Numéro  /  Numbers</t>
  </si>
  <si>
    <t>Appels              Calls</t>
  </si>
  <si>
    <t>Revenus          Revenue</t>
  </si>
  <si>
    <t>Contestations           Chargeback</t>
  </si>
  <si>
    <t>Frais                    Fees</t>
  </si>
  <si>
    <t>Revenus Nets       Net Revenue</t>
  </si>
  <si>
    <t>Mois</t>
  </si>
  <si>
    <t>x</t>
  </si>
  <si>
    <t>c2033 (Bell Mobilite)</t>
  </si>
  <si>
    <t>c2033 (Rogers)</t>
  </si>
  <si>
    <t>c2033 (Telus Mobilite)</t>
  </si>
  <si>
    <t>c2033 (Videotron)</t>
  </si>
  <si>
    <t>DTMP.ca/Rogers/8198232033</t>
  </si>
  <si>
    <t>DTMP.ca/Telus/8198232033</t>
  </si>
  <si>
    <t>DTMP.ca/Videotron/8198232033</t>
  </si>
  <si>
    <t>c7979 (Bell Mobilite) (V)</t>
  </si>
  <si>
    <t>c7979 (Rogers) (V)</t>
  </si>
  <si>
    <t>c7979 (Telus Mobilite) (V)</t>
  </si>
  <si>
    <t>c7979 (Videotron) (V)</t>
  </si>
  <si>
    <t>DTMP.ca/Rogers/4507761555</t>
  </si>
  <si>
    <t>DTMP.ca/Telus/4507761555</t>
  </si>
  <si>
    <t>DTMP.ca/Videotron/4507761555</t>
  </si>
  <si>
    <t>c8033 (Bell Mobilite)</t>
  </si>
  <si>
    <t>c8033 (Rogers)</t>
  </si>
  <si>
    <t>c8033 (Telus Mobilite)</t>
  </si>
  <si>
    <t>c8033 (Videotron)</t>
  </si>
  <si>
    <t>DTMP.ca/Rogers/8197780888</t>
  </si>
  <si>
    <t>DTMP.ca/Telus/8197780888</t>
  </si>
  <si>
    <t>c7979 (Bell Mobilite) (N)</t>
  </si>
  <si>
    <t>c7979 (Rogers) (N)</t>
  </si>
  <si>
    <t>c7979 (Telus Mobilite) (N)</t>
  </si>
  <si>
    <t>c7979 (Videotron) (N)</t>
  </si>
  <si>
    <t>DTMP.ca/Rogers/8193797979</t>
  </si>
  <si>
    <t>DTMP.ca/Telus/8193797979</t>
  </si>
  <si>
    <t>DTMP.ca/Videotron/8193797979</t>
  </si>
  <si>
    <t>DTMP.ca/Rogers/4186982777</t>
  </si>
  <si>
    <t>DTMP.ca/Telus/4186982777</t>
  </si>
  <si>
    <t>DTMP.ca/Videotron/4186982777</t>
  </si>
  <si>
    <t>DTMP.ca/Rogers/4186868686</t>
  </si>
  <si>
    <t>DTMP.ca/Telus/4186868686</t>
  </si>
  <si>
    <t>DTMP.ca/Videotron/4186868686</t>
  </si>
  <si>
    <t>DTMP.ca/Rogers/4505155858</t>
  </si>
  <si>
    <t>DTMP.ca/Telus/4505155858</t>
  </si>
  <si>
    <t>DTMP.ca/Videotron/4505155858</t>
  </si>
  <si>
    <t>Total</t>
  </si>
  <si>
    <t>Autres Revenus du mois de</t>
  </si>
  <si>
    <t>Services</t>
  </si>
  <si>
    <t>Qté Transactions</t>
  </si>
  <si>
    <t>Revenus</t>
  </si>
  <si>
    <t>Frais</t>
  </si>
  <si>
    <t>Revenu Net</t>
  </si>
  <si>
    <t>qui</t>
  </si>
  <si>
    <t>Carte de crédit_Juillet 2017</t>
  </si>
  <si>
    <t>CITOYEN DE LA VALLEE DE L'OR</t>
  </si>
  <si>
    <t>JOURNAL INFORMATION DU NORD</t>
  </si>
  <si>
    <t>JOURNAL PAYS D'EN HAUT</t>
  </si>
  <si>
    <t>JOURNAL ST-LAURENT PORTAGE</t>
  </si>
  <si>
    <t>JOURNAUX EDITIONS BELCOR REGION GASPESIE</t>
  </si>
  <si>
    <t>La Press Ltée</t>
  </si>
  <si>
    <t>JOURNAUX EDITIONS BELCOR REGION RIMOUSKI</t>
  </si>
  <si>
    <t>JOURNAL LE REVEIL</t>
  </si>
  <si>
    <t>L'ECHO DU NORD</t>
  </si>
  <si>
    <t>Sous-Total</t>
  </si>
  <si>
    <t>Montant de la redevance</t>
  </si>
  <si>
    <t>128674074RT0001</t>
  </si>
  <si>
    <t>1010497627TQ0001</t>
  </si>
  <si>
    <t>TOTAL</t>
  </si>
</sst>
</file>

<file path=xl/styles.xml><?xml version="1.0" encoding="utf-8"?>
<styleSheet xmlns="http://schemas.openxmlformats.org/spreadsheetml/2006/main">
  <numFmts count="14">
    <numFmt numFmtId="8" formatCode="#,##0.00\ &quot;$&quot;_);[Red]\(#,##0.00\ &quot;$&quot;\)"/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mmmm\ yyyy"/>
    <numFmt numFmtId="165" formatCode="#,##0.00\ &quot;$&quot;"/>
    <numFmt numFmtId="166" formatCode="#,##0_);[Red]\(#,##0\)"/>
    <numFmt numFmtId="167" formatCode="&quot;$&quot;#,##0.00_);[Red]\(&quot;$&quot;#,##0.00\)"/>
    <numFmt numFmtId="168" formatCode="_-* #,##0.00\ &quot;$&quot;_-;_-* #,##0.00\ &quot;$&quot;\-;_-* &quot;-&quot;??\ &quot;$&quot;_-;_-@_-"/>
    <numFmt numFmtId="169" formatCode="_-* #,##0.00_-;\-* #,##0.00_-;_-* &quot;-&quot;??_-;_-@_-"/>
    <numFmt numFmtId="170" formatCode="_(* #,##0.00_);_(* \(#,##0.00\);_(* &quot;-&quot;??_);_(@_)"/>
    <numFmt numFmtId="171" formatCode="_(&quot;$&quot;* #,##0.00_);_(&quot;$&quot;* \(#,##0.00\);_(&quot;$&quot;* &quot;-&quot;??_);_(@_)"/>
    <numFmt numFmtId="172" formatCode="_-&quot;$&quot;* #,##0.00_-;\-&quot;$&quot;* #,##0.00_-;_-&quot;$&quot;* &quot;-&quot;??_-;_-@_-"/>
    <numFmt numFmtId="173" formatCode="_ * #,##0.00_)\ [$€-1]_ ;_ * \(#,##0.00\)\ [$€-1]_ ;_ * &quot;-&quot;??_)\ [$€-1]_ "/>
    <numFmt numFmtId="174" formatCode="_-* #,##0.00\ _$_-;_-* #,##0.00\ _$\-;_-* &quot;-&quot;??\ _$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6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indexed="9"/>
      <name val="Avenir 65"/>
      <family val="2"/>
    </font>
    <font>
      <sz val="8"/>
      <name val="Avenir 65"/>
      <family val="2"/>
    </font>
    <font>
      <sz val="8"/>
      <color indexed="9"/>
      <name val="Avenir 65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MS Sans Serif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5" applyNumberFormat="0" applyFill="0" applyAlignment="0" applyProtection="0"/>
    <xf numFmtId="0" fontId="10" fillId="0" borderId="0"/>
    <xf numFmtId="0" fontId="1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0" fontId="25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5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5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5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5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5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7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38" borderId="16" applyNumberFormat="0" applyAlignment="0" applyProtection="0"/>
    <xf numFmtId="0" fontId="29" fillId="0" borderId="17" applyNumberFormat="0" applyFill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39" borderId="1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5" fillId="39" borderId="1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0" fillId="25" borderId="16" applyNumberFormat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/>
    <xf numFmtId="17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3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2" borderId="0" applyNumberFormat="0" applyBorder="0" applyAlignment="0" applyProtection="0"/>
    <xf numFmtId="0" fontId="36" fillId="38" borderId="19" applyNumberFormat="0" applyAlignment="0" applyProtection="0"/>
    <xf numFmtId="0" fontId="3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1" fillId="41" borderId="23" applyNumberFormat="0" applyAlignment="0" applyProtection="0"/>
  </cellStyleXfs>
  <cellXfs count="79">
    <xf numFmtId="0" fontId="0" fillId="0" borderId="0" xfId="0"/>
    <xf numFmtId="0" fontId="4" fillId="15" borderId="2" xfId="2" applyFont="1" applyFill="1" applyBorder="1"/>
    <xf numFmtId="0" fontId="4" fillId="15" borderId="3" xfId="2" applyFont="1" applyFill="1" applyBorder="1"/>
    <xf numFmtId="0" fontId="3" fillId="0" borderId="0" xfId="2"/>
    <xf numFmtId="0" fontId="5" fillId="0" borderId="0" xfId="2" applyFont="1"/>
    <xf numFmtId="0" fontId="6" fillId="0" borderId="0" xfId="3" applyAlignment="1" applyProtection="1"/>
    <xf numFmtId="0" fontId="3" fillId="16" borderId="4" xfId="2" applyFont="1" applyFill="1" applyBorder="1"/>
    <xf numFmtId="0" fontId="7" fillId="16" borderId="4" xfId="4" applyFont="1" applyFill="1" applyBorder="1" applyAlignment="1"/>
    <xf numFmtId="0" fontId="9" fillId="16" borderId="6" xfId="5" applyFont="1" applyFill="1" applyBorder="1"/>
    <xf numFmtId="0" fontId="3" fillId="17" borderId="7" xfId="2" applyFont="1" applyFill="1" applyBorder="1"/>
    <xf numFmtId="0" fontId="11" fillId="17" borderId="7" xfId="6" applyFont="1" applyFill="1" applyBorder="1" applyAlignment="1"/>
    <xf numFmtId="0" fontId="13" fillId="17" borderId="8" xfId="7" applyFont="1" applyFill="1" applyBorder="1"/>
    <xf numFmtId="0" fontId="3" fillId="16" borderId="7" xfId="2" applyFont="1" applyFill="1" applyBorder="1"/>
    <xf numFmtId="0" fontId="14" fillId="16" borderId="7" xfId="3" applyFont="1" applyFill="1" applyBorder="1" applyAlignment="1" applyProtection="1"/>
    <xf numFmtId="0" fontId="7" fillId="16" borderId="8" xfId="2" applyFont="1" applyFill="1" applyBorder="1"/>
    <xf numFmtId="0" fontId="6" fillId="17" borderId="7" xfId="3" applyFont="1" applyFill="1" applyBorder="1" applyAlignment="1" applyProtection="1"/>
    <xf numFmtId="0" fontId="7" fillId="17" borderId="8" xfId="2" applyFont="1" applyFill="1" applyBorder="1"/>
    <xf numFmtId="0" fontId="6" fillId="16" borderId="7" xfId="3" applyFont="1" applyFill="1" applyBorder="1" applyAlignment="1" applyProtection="1"/>
    <xf numFmtId="0" fontId="0" fillId="0" borderId="0" xfId="2" applyFont="1" applyAlignment="1"/>
    <xf numFmtId="0" fontId="3" fillId="0" borderId="0" xfId="2" applyAlignment="1"/>
    <xf numFmtId="164" fontId="15" fillId="0" borderId="0" xfId="2" applyNumberFormat="1" applyFont="1" applyAlignment="1">
      <alignment horizontal="right"/>
    </xf>
    <xf numFmtId="0" fontId="5" fillId="0" borderId="7" xfId="2" applyFont="1" applyFill="1" applyBorder="1"/>
    <xf numFmtId="0" fontId="15" fillId="0" borderId="0" xfId="2" applyFont="1"/>
    <xf numFmtId="14" fontId="0" fillId="0" borderId="0" xfId="0" applyNumberFormat="1"/>
    <xf numFmtId="0" fontId="5" fillId="0" borderId="4" xfId="2" applyFont="1" applyFill="1" applyBorder="1"/>
    <xf numFmtId="0" fontId="3" fillId="0" borderId="0" xfId="2" applyAlignment="1">
      <alignment horizontal="right"/>
    </xf>
    <xf numFmtId="0" fontId="5" fillId="0" borderId="0" xfId="2" applyFont="1" applyAlignment="1">
      <alignment horizontal="right"/>
    </xf>
    <xf numFmtId="164" fontId="5" fillId="0" borderId="0" xfId="2" applyNumberFormat="1" applyFont="1" applyAlignment="1">
      <alignment horizontal="left"/>
    </xf>
    <xf numFmtId="0" fontId="5" fillId="18" borderId="9" xfId="2" applyFont="1" applyFill="1" applyBorder="1" applyAlignment="1">
      <alignment horizontal="center" wrapText="1"/>
    </xf>
    <xf numFmtId="0" fontId="5" fillId="18" borderId="0" xfId="2" applyFont="1" applyFill="1" applyBorder="1" applyAlignment="1">
      <alignment horizontal="center" wrapText="1"/>
    </xf>
    <xf numFmtId="0" fontId="5" fillId="15" borderId="10" xfId="2" applyFont="1" applyFill="1" applyBorder="1"/>
    <xf numFmtId="0" fontId="5" fillId="15" borderId="0" xfId="2" applyFont="1" applyFill="1" applyBorder="1"/>
    <xf numFmtId="0" fontId="0" fillId="0" borderId="0" xfId="0" applyFill="1"/>
    <xf numFmtId="0" fontId="0" fillId="0" borderId="9" xfId="0" applyBorder="1" applyAlignment="1">
      <alignment horizontal="left"/>
    </xf>
    <xf numFmtId="0" fontId="0" fillId="0" borderId="9" xfId="0" applyBorder="1"/>
    <xf numFmtId="165" fontId="0" fillId="0" borderId="9" xfId="0" applyNumberFormat="1" applyBorder="1"/>
    <xf numFmtId="8" fontId="0" fillId="0" borderId="9" xfId="0" applyNumberFormat="1" applyBorder="1"/>
    <xf numFmtId="8" fontId="0" fillId="0" borderId="0" xfId="0" applyNumberFormat="1"/>
    <xf numFmtId="0" fontId="2" fillId="19" borderId="0" xfId="0" applyFont="1" applyFill="1" applyAlignment="1">
      <alignment horizontal="left"/>
    </xf>
    <xf numFmtId="0" fontId="3" fillId="0" borderId="0" xfId="2" applyFont="1"/>
    <xf numFmtId="8" fontId="0" fillId="0" borderId="0" xfId="0" applyNumberFormat="1" applyBorder="1"/>
    <xf numFmtId="0" fontId="2" fillId="0" borderId="0" xfId="0" applyFont="1" applyBorder="1"/>
    <xf numFmtId="0" fontId="2" fillId="0" borderId="0" xfId="0" applyFont="1"/>
    <xf numFmtId="0" fontId="0" fillId="0" borderId="9" xfId="0" applyNumberFormat="1" applyBorder="1"/>
    <xf numFmtId="0" fontId="16" fillId="0" borderId="9" xfId="0" applyFont="1" applyBorder="1"/>
    <xf numFmtId="166" fontId="16" fillId="0" borderId="9" xfId="0" applyNumberFormat="1" applyFont="1" applyBorder="1"/>
    <xf numFmtId="8" fontId="16" fillId="0" borderId="9" xfId="0" applyNumberFormat="1" applyFont="1" applyBorder="1"/>
    <xf numFmtId="8" fontId="16" fillId="0" borderId="0" xfId="0" applyNumberFormat="1" applyFont="1" applyBorder="1"/>
    <xf numFmtId="0" fontId="16" fillId="0" borderId="0" xfId="0" applyFont="1"/>
    <xf numFmtId="8" fontId="16" fillId="0" borderId="0" xfId="0" applyNumberFormat="1" applyFont="1"/>
    <xf numFmtId="0" fontId="17" fillId="0" borderId="0" xfId="2" applyFont="1"/>
    <xf numFmtId="14" fontId="3" fillId="0" borderId="0" xfId="2" applyNumberFormat="1"/>
    <xf numFmtId="0" fontId="18" fillId="18" borderId="11" xfId="2" applyFont="1" applyFill="1" applyBorder="1" applyAlignment="1">
      <alignment horizontal="center"/>
    </xf>
    <xf numFmtId="0" fontId="18" fillId="18" borderId="12" xfId="2" applyFont="1" applyFill="1" applyBorder="1" applyAlignment="1">
      <alignment horizontal="center"/>
    </xf>
    <xf numFmtId="0" fontId="18" fillId="18" borderId="9" xfId="2" applyFont="1" applyFill="1" applyBorder="1" applyAlignment="1"/>
    <xf numFmtId="0" fontId="18" fillId="18" borderId="9" xfId="2" applyFont="1" applyFill="1" applyBorder="1" applyAlignment="1">
      <alignment horizontal="center"/>
    </xf>
    <xf numFmtId="0" fontId="18" fillId="18" borderId="13" xfId="2" applyFont="1" applyFill="1" applyBorder="1" applyAlignment="1">
      <alignment horizontal="center"/>
    </xf>
    <xf numFmtId="44" fontId="0" fillId="0" borderId="0" xfId="1" applyFont="1"/>
    <xf numFmtId="14" fontId="2" fillId="0" borderId="0" xfId="0" applyNumberFormat="1" applyFont="1"/>
    <xf numFmtId="167" fontId="19" fillId="0" borderId="0" xfId="2" applyNumberFormat="1" applyFont="1" applyAlignment="1">
      <alignment horizontal="right" vertical="center"/>
    </xf>
    <xf numFmtId="8" fontId="20" fillId="0" borderId="0" xfId="0" applyNumberFormat="1" applyFont="1"/>
    <xf numFmtId="0" fontId="0" fillId="0" borderId="14" xfId="0" applyBorder="1" applyAlignment="1">
      <alignment horizontal="left"/>
    </xf>
    <xf numFmtId="44" fontId="0" fillId="0" borderId="9" xfId="1" applyNumberFormat="1" applyFont="1" applyBorder="1"/>
    <xf numFmtId="0" fontId="0" fillId="0" borderId="15" xfId="0" applyBorder="1"/>
    <xf numFmtId="1" fontId="0" fillId="0" borderId="15" xfId="0" applyNumberForma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44" fontId="16" fillId="0" borderId="9" xfId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0" xfId="0" applyFont="1" applyFill="1" applyAlignment="1"/>
    <xf numFmtId="0" fontId="23" fillId="0" borderId="0" xfId="0" applyFont="1" applyFill="1" applyAlignment="1"/>
    <xf numFmtId="0" fontId="5" fillId="0" borderId="0" xfId="0" applyFont="1" applyAlignment="1">
      <alignment horizontal="right"/>
    </xf>
    <xf numFmtId="8" fontId="2" fillId="0" borderId="0" xfId="0" applyNumberFormat="1" applyFont="1" applyAlignment="1">
      <alignment horizontal="right"/>
    </xf>
    <xf numFmtId="168" fontId="5" fillId="0" borderId="0" xfId="8" applyFont="1"/>
    <xf numFmtId="0" fontId="24" fillId="0" borderId="0" xfId="0" applyFont="1" applyFill="1" applyAlignment="1"/>
    <xf numFmtId="0" fontId="5" fillId="0" borderId="0" xfId="0" applyNumberFormat="1" applyFont="1" applyAlignment="1">
      <alignment horizontal="right"/>
    </xf>
    <xf numFmtId="8" fontId="0" fillId="0" borderId="0" xfId="0" applyNumberFormat="1" applyAlignment="1">
      <alignment horizontal="right"/>
    </xf>
  </cellXfs>
  <cellStyles count="312">
    <cellStyle name="20 % - Accent1 2" xfId="9"/>
    <cellStyle name="20 % - Accent1 2 2" xfId="10"/>
    <cellStyle name="20 % - Accent1 2 3" xfId="11"/>
    <cellStyle name="20 % - Accent1 2 4" xfId="12"/>
    <cellStyle name="20 % - Accent1 2 5" xfId="13"/>
    <cellStyle name="20 % - Accent1 3" xfId="14"/>
    <cellStyle name="20 % - Accent1 3 2" xfId="15"/>
    <cellStyle name="20 % - Accent1 3 3" xfId="16"/>
    <cellStyle name="20 % - Accent1 4" xfId="17"/>
    <cellStyle name="20 % - Accent1 5" xfId="18"/>
    <cellStyle name="20 % - Accent1 6" xfId="19"/>
    <cellStyle name="20 % - Accent2 2" xfId="20"/>
    <cellStyle name="20 % - Accent2 2 2" xfId="21"/>
    <cellStyle name="20 % - Accent2 2 3" xfId="22"/>
    <cellStyle name="20 % - Accent2 2 4" xfId="23"/>
    <cellStyle name="20 % - Accent2 2 5" xfId="24"/>
    <cellStyle name="20 % - Accent2 3" xfId="25"/>
    <cellStyle name="20 % - Accent2 3 2" xfId="26"/>
    <cellStyle name="20 % - Accent2 3 3" xfId="27"/>
    <cellStyle name="20 % - Accent2 4" xfId="28"/>
    <cellStyle name="20 % - Accent2 5" xfId="29"/>
    <cellStyle name="20 % - Accent2 6" xfId="30"/>
    <cellStyle name="20 % - Accent3 2" xfId="31"/>
    <cellStyle name="20 % - Accent3 2 2" xfId="32"/>
    <cellStyle name="20 % - Accent3 2 3" xfId="33"/>
    <cellStyle name="20 % - Accent3 2 4" xfId="34"/>
    <cellStyle name="20 % - Accent3 2 5" xfId="35"/>
    <cellStyle name="20 % - Accent3 3" xfId="36"/>
    <cellStyle name="20 % - Accent3 3 2" xfId="37"/>
    <cellStyle name="20 % - Accent3 3 3" xfId="38"/>
    <cellStyle name="20 % - Accent3 4" xfId="39"/>
    <cellStyle name="20 % - Accent3 5" xfId="40"/>
    <cellStyle name="20 % - Accent3 6" xfId="41"/>
    <cellStyle name="20 % - Accent4 2" xfId="42"/>
    <cellStyle name="20 % - Accent4 2 2" xfId="43"/>
    <cellStyle name="20 % - Accent4 2 3" xfId="44"/>
    <cellStyle name="20 % - Accent4 2 4" xfId="45"/>
    <cellStyle name="20 % - Accent4 2 5" xfId="46"/>
    <cellStyle name="20 % - Accent4 3" xfId="47"/>
    <cellStyle name="20 % - Accent4 3 2" xfId="48"/>
    <cellStyle name="20 % - Accent4 3 3" xfId="49"/>
    <cellStyle name="20 % - Accent4 4" xfId="50"/>
    <cellStyle name="20 % - Accent4 5" xfId="51"/>
    <cellStyle name="20 % - Accent4 6" xfId="52"/>
    <cellStyle name="20 % - Accent5 2" xfId="53"/>
    <cellStyle name="20 % - Accent5 2 2" xfId="54"/>
    <cellStyle name="20 % - Accent5 2 3" xfId="55"/>
    <cellStyle name="20 % - Accent5 2 4" xfId="56"/>
    <cellStyle name="20 % - Accent5 2 5" xfId="57"/>
    <cellStyle name="20 % - Accent5 3" xfId="58"/>
    <cellStyle name="20 % - Accent5 3 2" xfId="59"/>
    <cellStyle name="20 % - Accent5 3 3" xfId="60"/>
    <cellStyle name="20 % - Accent5 4" xfId="61"/>
    <cellStyle name="20 % - Accent5 5" xfId="62"/>
    <cellStyle name="20 % - Accent5 6" xfId="63"/>
    <cellStyle name="20 % - Accent6 2" xfId="64"/>
    <cellStyle name="20 % - Accent6 2 2" xfId="65"/>
    <cellStyle name="20 % - Accent6 2 3" xfId="66"/>
    <cellStyle name="20 % - Accent6 2 4" xfId="67"/>
    <cellStyle name="20 % - Accent6 2 5" xfId="68"/>
    <cellStyle name="20 % - Accent6 3" xfId="69"/>
    <cellStyle name="20 % - Accent6 3 2" xfId="70"/>
    <cellStyle name="20 % - Accent6 3 3" xfId="71"/>
    <cellStyle name="20 % - Accent6 4" xfId="72"/>
    <cellStyle name="20 % - Accent6 5" xfId="73"/>
    <cellStyle name="20 % - Accent6 6" xfId="74"/>
    <cellStyle name="40 % - Accent1 2" xfId="75"/>
    <cellStyle name="40 % - Accent1 2 2" xfId="76"/>
    <cellStyle name="40 % - Accent1 2 3" xfId="77"/>
    <cellStyle name="40 % - Accent1 2 4" xfId="78"/>
    <cellStyle name="40 % - Accent1 2 5" xfId="79"/>
    <cellStyle name="40 % - Accent1 3" xfId="80"/>
    <cellStyle name="40 % - Accent1 3 2" xfId="81"/>
    <cellStyle name="40 % - Accent1 3 3" xfId="82"/>
    <cellStyle name="40 % - Accent1 4" xfId="83"/>
    <cellStyle name="40 % - Accent1 5" xfId="84"/>
    <cellStyle name="40 % - Accent1 6" xfId="85"/>
    <cellStyle name="40 % - Accent2 2" xfId="86"/>
    <cellStyle name="40 % - Accent2 2 2" xfId="87"/>
    <cellStyle name="40 % - Accent2 2 3" xfId="88"/>
    <cellStyle name="40 % - Accent2 2 4" xfId="89"/>
    <cellStyle name="40 % - Accent2 2 5" xfId="90"/>
    <cellStyle name="40 % - Accent2 3" xfId="91"/>
    <cellStyle name="40 % - Accent2 3 2" xfId="92"/>
    <cellStyle name="40 % - Accent2 3 3" xfId="93"/>
    <cellStyle name="40 % - Accent2 4" xfId="94"/>
    <cellStyle name="40 % - Accent2 5" xfId="95"/>
    <cellStyle name="40 % - Accent2 6" xfId="96"/>
    <cellStyle name="40 % - Accent3 2" xfId="97"/>
    <cellStyle name="40 % - Accent3 2 2" xfId="98"/>
    <cellStyle name="40 % - Accent3 2 3" xfId="99"/>
    <cellStyle name="40 % - Accent3 2 4" xfId="100"/>
    <cellStyle name="40 % - Accent3 2 5" xfId="101"/>
    <cellStyle name="40 % - Accent3 3" xfId="102"/>
    <cellStyle name="40 % - Accent3 3 2" xfId="103"/>
    <cellStyle name="40 % - Accent3 3 3" xfId="104"/>
    <cellStyle name="40 % - Accent3 4" xfId="105"/>
    <cellStyle name="40 % - Accent3 5" xfId="106"/>
    <cellStyle name="40 % - Accent3 6" xfId="107"/>
    <cellStyle name="40 % - Accent4 2" xfId="108"/>
    <cellStyle name="40 % - Accent4 2 2" xfId="109"/>
    <cellStyle name="40 % - Accent4 2 3" xfId="110"/>
    <cellStyle name="40 % - Accent4 2 4" xfId="111"/>
    <cellStyle name="40 % - Accent4 2 5" xfId="112"/>
    <cellStyle name="40 % - Accent4 3" xfId="113"/>
    <cellStyle name="40 % - Accent4 3 2" xfId="114"/>
    <cellStyle name="40 % - Accent4 3 3" xfId="115"/>
    <cellStyle name="40 % - Accent4 4" xfId="116"/>
    <cellStyle name="40 % - Accent4 5" xfId="117"/>
    <cellStyle name="40 % - Accent4 6" xfId="118"/>
    <cellStyle name="40 % - Accent5 2" xfId="119"/>
    <cellStyle name="40 % - Accent5 2 2" xfId="120"/>
    <cellStyle name="40 % - Accent5 2 3" xfId="121"/>
    <cellStyle name="40 % - Accent5 2 4" xfId="122"/>
    <cellStyle name="40 % - Accent5 2 5" xfId="123"/>
    <cellStyle name="40 % - Accent5 3" xfId="124"/>
    <cellStyle name="40 % - Accent5 3 2" xfId="125"/>
    <cellStyle name="40 % - Accent5 3 3" xfId="126"/>
    <cellStyle name="40 % - Accent5 4" xfId="127"/>
    <cellStyle name="40 % - Accent5 5" xfId="128"/>
    <cellStyle name="40 % - Accent5 6" xfId="129"/>
    <cellStyle name="40 % - Accent6 2" xfId="130"/>
    <cellStyle name="40 % - Accent6 2 2" xfId="131"/>
    <cellStyle name="40 % - Accent6 2 3" xfId="132"/>
    <cellStyle name="40 % - Accent6 2 4" xfId="133"/>
    <cellStyle name="40 % - Accent6 2 5" xfId="134"/>
    <cellStyle name="40 % - Accent6 3" xfId="135"/>
    <cellStyle name="40 % - Accent6 3 2" xfId="136"/>
    <cellStyle name="40 % - Accent6 3 3" xfId="137"/>
    <cellStyle name="40 % - Accent6 4" xfId="138"/>
    <cellStyle name="40 % - Accent6 5" xfId="139"/>
    <cellStyle name="40 % - Accent6 6" xfId="140"/>
    <cellStyle name="60 % - Accent1 2" xfId="141"/>
    <cellStyle name="60 % - Accent2 2" xfId="142"/>
    <cellStyle name="60 % - Accent3 2" xfId="143"/>
    <cellStyle name="60 % - Accent4 2" xfId="144"/>
    <cellStyle name="60 % - Accent5 2" xfId="145"/>
    <cellStyle name="60 % - Accent6 2" xfId="146"/>
    <cellStyle name="Accent1 2" xfId="147"/>
    <cellStyle name="Accent2 2" xfId="148"/>
    <cellStyle name="Accent3 2" xfId="149"/>
    <cellStyle name="Accent4 2" xfId="150"/>
    <cellStyle name="Accent5 2" xfId="151"/>
    <cellStyle name="Accent6 2" xfId="152"/>
    <cellStyle name="Avertissement 2" xfId="153"/>
    <cellStyle name="Calcul 2" xfId="154"/>
    <cellStyle name="Cellule liée 2" xfId="155"/>
    <cellStyle name="Comma 2" xfId="156"/>
    <cellStyle name="Comma 2 2" xfId="157"/>
    <cellStyle name="Comma 2 2 2" xfId="158"/>
    <cellStyle name="Comma 2 2 2 2" xfId="159"/>
    <cellStyle name="Comma 2 2 3" xfId="160"/>
    <cellStyle name="Comma 2 3" xfId="161"/>
    <cellStyle name="Comma 2 3 2" xfId="162"/>
    <cellStyle name="Comma 2 4" xfId="163"/>
    <cellStyle name="Comma 3" xfId="164"/>
    <cellStyle name="Comma 3 2" xfId="165"/>
    <cellStyle name="Comma 3 2 2" xfId="166"/>
    <cellStyle name="Comma 3 3" xfId="167"/>
    <cellStyle name="Comma 3 3 2" xfId="168"/>
    <cellStyle name="Comma 4" xfId="169"/>
    <cellStyle name="Comma 5" xfId="170"/>
    <cellStyle name="Comma 5 2" xfId="171"/>
    <cellStyle name="Comma 6" xfId="172"/>
    <cellStyle name="Comma 6 2" xfId="173"/>
    <cellStyle name="Comma_Book12" xfId="174"/>
    <cellStyle name="Commentaire 2" xfId="175"/>
    <cellStyle name="Commentaire 2 2" xfId="176"/>
    <cellStyle name="Commentaire 2 3" xfId="177"/>
    <cellStyle name="Commentaire 2 4" xfId="178"/>
    <cellStyle name="Commentaire 2 5" xfId="179"/>
    <cellStyle name="Commentaire 2 6" xfId="180"/>
    <cellStyle name="Commentaire 2 7" xfId="181"/>
    <cellStyle name="Commentaire 3" xfId="182"/>
    <cellStyle name="Commentaire 3 2" xfId="183"/>
    <cellStyle name="Commentaire 3 3" xfId="184"/>
    <cellStyle name="Commentaire 3 4" xfId="185"/>
    <cellStyle name="Commentaire 4" xfId="186"/>
    <cellStyle name="Commentaire 4 2" xfId="187"/>
    <cellStyle name="Currency 2" xfId="188"/>
    <cellStyle name="Currency 2 2" xfId="189"/>
    <cellStyle name="Currency 3" xfId="190"/>
    <cellStyle name="Currency 3 2" xfId="191"/>
    <cellStyle name="Currency 4" xfId="192"/>
    <cellStyle name="Currency 5" xfId="193"/>
    <cellStyle name="Currency 6" xfId="194"/>
    <cellStyle name="Currency_Book12" xfId="195"/>
    <cellStyle name="Entrée 2" xfId="196"/>
    <cellStyle name="Euro" xfId="197"/>
    <cellStyle name="Euro 2" xfId="198"/>
    <cellStyle name="Euro 3" xfId="199"/>
    <cellStyle name="Euro 4" xfId="200"/>
    <cellStyle name="Insatisfaisant 2" xfId="201"/>
    <cellStyle name="Lien hypertexte" xfId="3" builtinId="8"/>
    <cellStyle name="Lien hypertexte 2" xfId="202"/>
    <cellStyle name="Milliers 2" xfId="203"/>
    <cellStyle name="Milliers 2 2" xfId="204"/>
    <cellStyle name="Milliers 3" xfId="205"/>
    <cellStyle name="Milliers 4" xfId="206"/>
    <cellStyle name="Milliers 5" xfId="207"/>
    <cellStyle name="Milliers 6" xfId="208"/>
    <cellStyle name="Milliers 7" xfId="209"/>
    <cellStyle name="Milliers 7 2" xfId="210"/>
    <cellStyle name="Milliers 8" xfId="211"/>
    <cellStyle name="Monétaire" xfId="1" builtinId="4"/>
    <cellStyle name="Monétaire 2" xfId="8"/>
    <cellStyle name="Monétaire 2 2" xfId="212"/>
    <cellStyle name="Monétaire 2 2 2" xfId="213"/>
    <cellStyle name="Monétaire 2 2 3" xfId="214"/>
    <cellStyle name="Monétaire 2 3" xfId="215"/>
    <cellStyle name="Monétaire 2 3 2" xfId="216"/>
    <cellStyle name="Monétaire 2 3 3" xfId="217"/>
    <cellStyle name="Monétaire 2 4" xfId="218"/>
    <cellStyle name="Monétaire 2 5" xfId="219"/>
    <cellStyle name="Monétaire 3" xfId="220"/>
    <cellStyle name="Monétaire 3 2" xfId="221"/>
    <cellStyle name="Monétaire 3 3" xfId="222"/>
    <cellStyle name="Monétaire 3 4" xfId="223"/>
    <cellStyle name="Monétaire 3 5" xfId="224"/>
    <cellStyle name="Monétaire 3 6" xfId="225"/>
    <cellStyle name="Monétaire 4" xfId="226"/>
    <cellStyle name="Monétaire 4 2" xfId="227"/>
    <cellStyle name="Monétaire 4 3" xfId="228"/>
    <cellStyle name="Monétaire 5" xfId="229"/>
    <cellStyle name="Monétaire 5 2" xfId="230"/>
    <cellStyle name="Monétaire 6" xfId="231"/>
    <cellStyle name="Monétaire 6 2" xfId="232"/>
    <cellStyle name="Monétaire 7" xfId="233"/>
    <cellStyle name="Neutre 2" xfId="234"/>
    <cellStyle name="Normal" xfId="0" builtinId="0"/>
    <cellStyle name="Normal 10" xfId="235"/>
    <cellStyle name="Normal 10 2" xfId="236"/>
    <cellStyle name="Normal 10 3" xfId="237"/>
    <cellStyle name="Normal 11" xfId="238"/>
    <cellStyle name="Normal 11 2" xfId="239"/>
    <cellStyle name="Normal 11 3" xfId="240"/>
    <cellStyle name="Normal 12" xfId="241"/>
    <cellStyle name="Normal 2" xfId="2"/>
    <cellStyle name="Normal 2 10" xfId="242"/>
    <cellStyle name="Normal 2 11" xfId="243"/>
    <cellStyle name="Normal 2 12" xfId="244"/>
    <cellStyle name="Normal 2 13" xfId="245"/>
    <cellStyle name="Normal 2 2" xfId="246"/>
    <cellStyle name="Normal 2 2 2" xfId="4"/>
    <cellStyle name="Normal 2 2 2 2" xfId="247"/>
    <cellStyle name="Normal 2 2 3" xfId="248"/>
    <cellStyle name="Normal 2 2 4" xfId="249"/>
    <cellStyle name="Normal 2 2 5" xfId="250"/>
    <cellStyle name="Normal 2 2 6" xfId="251"/>
    <cellStyle name="Normal 2 2 7" xfId="252"/>
    <cellStyle name="Normal 2 3" xfId="253"/>
    <cellStyle name="Normal 2 3 2" xfId="254"/>
    <cellStyle name="Normal 2 3 3" xfId="255"/>
    <cellStyle name="Normal 2 4" xfId="256"/>
    <cellStyle name="Normal 2 4 2" xfId="257"/>
    <cellStyle name="Normal 2 5" xfId="258"/>
    <cellStyle name="Normal 2 6" xfId="259"/>
    <cellStyle name="Normal 2 7" xfId="260"/>
    <cellStyle name="Normal 2 8" xfId="261"/>
    <cellStyle name="Normal 2 9" xfId="262"/>
    <cellStyle name="Normal 3" xfId="263"/>
    <cellStyle name="Normal 3 2" xfId="264"/>
    <cellStyle name="Normal 3 2 2" xfId="265"/>
    <cellStyle name="Normal 3 3" xfId="266"/>
    <cellStyle name="Normal 3 4" xfId="267"/>
    <cellStyle name="Normal 3 5" xfId="268"/>
    <cellStyle name="Normal 3 6" xfId="269"/>
    <cellStyle name="Normal 4" xfId="270"/>
    <cellStyle name="Normal 4 2" xfId="271"/>
    <cellStyle name="Normal 4 3" xfId="272"/>
    <cellStyle name="Normal 4 4" xfId="273"/>
    <cellStyle name="Normal 4 5" xfId="274"/>
    <cellStyle name="Normal 5" xfId="275"/>
    <cellStyle name="Normal 5 2" xfId="276"/>
    <cellStyle name="Normal 5 2 2" xfId="277"/>
    <cellStyle name="Normal 5 3" xfId="278"/>
    <cellStyle name="Normal 5 4" xfId="279"/>
    <cellStyle name="Normal 6" xfId="280"/>
    <cellStyle name="Normal 6 2" xfId="281"/>
    <cellStyle name="Normal 7" xfId="282"/>
    <cellStyle name="Normal 8" xfId="283"/>
    <cellStyle name="Normal 8 2" xfId="284"/>
    <cellStyle name="Normal 9" xfId="285"/>
    <cellStyle name="Normal_Feuil1" xfId="6"/>
    <cellStyle name="Percent 2" xfId="286"/>
    <cellStyle name="Percent 3" xfId="287"/>
    <cellStyle name="Percent 3 2" xfId="288"/>
    <cellStyle name="Percent 4" xfId="289"/>
    <cellStyle name="Percent 5" xfId="290"/>
    <cellStyle name="Pourcentage 2" xfId="291"/>
    <cellStyle name="Pourcentage 2 2" xfId="292"/>
    <cellStyle name="Pourcentage 2 2 2" xfId="293"/>
    <cellStyle name="Pourcentage 2 3" xfId="294"/>
    <cellStyle name="Pourcentage 2 4" xfId="295"/>
    <cellStyle name="Pourcentage 3" xfId="296"/>
    <cellStyle name="Pourcentage 3 2" xfId="297"/>
    <cellStyle name="Pourcentage 3 3" xfId="298"/>
    <cellStyle name="Pourcentage 3 4" xfId="299"/>
    <cellStyle name="Pourcentage 3 5" xfId="300"/>
    <cellStyle name="Pourcentage 4" xfId="301"/>
    <cellStyle name="Pourcentage 4 2" xfId="302"/>
    <cellStyle name="Pourcentage 5" xfId="303"/>
    <cellStyle name="Satisfaisant 2" xfId="304"/>
    <cellStyle name="Sortie 2" xfId="305"/>
    <cellStyle name="Texte explicatif 2" xfId="7"/>
    <cellStyle name="Titre 2" xfId="306"/>
    <cellStyle name="Titre 1 2" xfId="5"/>
    <cellStyle name="Titre 2 2" xfId="307"/>
    <cellStyle name="Titre 3 2" xfId="308"/>
    <cellStyle name="Titre 4 2" xfId="309"/>
    <cellStyle name="Total 2" xfId="310"/>
    <cellStyle name="Vérification 2" xfId="3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17</xdr:col>
      <xdr:colOff>1066800</xdr:colOff>
      <xdr:row>6</xdr:row>
      <xdr:rowOff>114299</xdr:rowOff>
    </xdr:to>
    <xdr:pic>
      <xdr:nvPicPr>
        <xdr:cNvPr id="2" name="Image 1" descr="to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0" y="0"/>
          <a:ext cx="762000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xnas\direction\Fichiers%20pour%20redevance%20mensuel\07%20-%20Juillet%202017\Pr&#233;paration%20des%20redevances%20de%20juillet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xnas\direction\Fichiers%20pour%20redevance%20mensuel\08%20-%20Ao&#251;t%202017\redevance%20ao&#251;t%20201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ll Mobilité "/>
      <sheetName val="Telus"/>
      <sheetName val="# Rogers"/>
      <sheetName val="vidéotron"/>
      <sheetName val="redevance"/>
      <sheetName val="dtmp Bell"/>
      <sheetName val="CATALYST"/>
      <sheetName val="Vidéeotron dtmp"/>
      <sheetName val="Bon nom bell"/>
      <sheetName val="900 collect voxtel"/>
      <sheetName val="tab 900 collect"/>
      <sheetName val="cb"/>
      <sheetName val="CB à ajouter oublier juin"/>
      <sheetName val="animatrices_stats"/>
      <sheetName val="BD900 new"/>
      <sheetName val="BD Client"/>
      <sheetName val="Reversion en fonction du CA"/>
      <sheetName val="Carriers"/>
      <sheetName val="Feui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devance"/>
      <sheetName val="journaux"/>
      <sheetName val="bloc temps"/>
      <sheetName val="tableau carte de crédit"/>
      <sheetName val="carte de crédit"/>
      <sheetName val="bon nom journaux"/>
      <sheetName val="provision"/>
      <sheetName val="CB liste"/>
    </sheetNames>
    <sheetDataSet>
      <sheetData sheetId="0">
        <row r="2">
          <cell r="A2" t="str">
            <v>4045076 Canada Inc.</v>
          </cell>
        </row>
        <row r="3">
          <cell r="A3" t="str">
            <v>6487 International Billing Services</v>
          </cell>
        </row>
        <row r="4">
          <cell r="A4" t="str">
            <v>AC Webconnecting BV</v>
          </cell>
        </row>
        <row r="5">
          <cell r="A5" t="str">
            <v>ACI Telecom</v>
          </cell>
        </row>
        <row r="6">
          <cell r="A6" t="str">
            <v>Acromédia</v>
          </cell>
        </row>
        <row r="7">
          <cell r="A7" t="str">
            <v>Alexandre Aubry</v>
          </cell>
        </row>
        <row r="8">
          <cell r="A8" t="str">
            <v>ALPHA CONSULTING INC.</v>
          </cell>
        </row>
        <row r="9">
          <cell r="A9" t="str">
            <v>Arcadia</v>
          </cell>
        </row>
        <row r="10">
          <cell r="A10" t="str">
            <v>BD Multimedia SA</v>
          </cell>
        </row>
        <row r="11">
          <cell r="A11" t="str">
            <v>Cacao Connexions Inc</v>
          </cell>
        </row>
        <row r="12">
          <cell r="A12" t="str">
            <v>CashParadize</v>
          </cell>
        </row>
        <row r="13">
          <cell r="A13" t="str">
            <v>Centre d'appel Roméo</v>
          </cell>
        </row>
        <row r="14">
          <cell r="A14" t="str">
            <v>CLEM COM LTD</v>
          </cell>
        </row>
        <row r="15">
          <cell r="A15" t="str">
            <v>CODE SOURCE REGISTRED</v>
          </cell>
        </row>
        <row r="16">
          <cell r="A16" t="str">
            <v>Daotec LTD</v>
          </cell>
        </row>
        <row r="17">
          <cell r="A17" t="str">
            <v>DirectProd</v>
          </cell>
        </row>
        <row r="18">
          <cell r="A18" t="str">
            <v>DNX Network Sarl</v>
          </cell>
        </row>
        <row r="19">
          <cell r="A19" t="str">
            <v>ESO TV</v>
          </cell>
        </row>
        <row r="20">
          <cell r="A20" t="str">
            <v>ESO TV - LA</v>
          </cell>
        </row>
        <row r="21">
          <cell r="A21" t="str">
            <v>Groupe TVA - Carleton</v>
          </cell>
        </row>
        <row r="22">
          <cell r="A22" t="str">
            <v>Groupe TVA - Québec</v>
          </cell>
        </row>
        <row r="23">
          <cell r="A23" t="str">
            <v>Groupe TVA - Rimouski</v>
          </cell>
        </row>
        <row r="24">
          <cell r="A24" t="str">
            <v>Groupe TVA - Rivière-du-Loup</v>
          </cell>
        </row>
        <row r="25">
          <cell r="A25" t="str">
            <v>Groupe TVA - Trois-Rivières</v>
          </cell>
        </row>
        <row r="26">
          <cell r="A26" t="str">
            <v>MOBIYO - HIPAY</v>
          </cell>
        </row>
        <row r="27">
          <cell r="A27" t="str">
            <v>MOBIYO - HIPAY - DTMP</v>
          </cell>
        </row>
        <row r="28">
          <cell r="A28" t="str">
            <v>Innovada Inc</v>
          </cell>
        </row>
        <row r="29">
          <cell r="A29" t="str">
            <v>Inter Tech</v>
          </cell>
        </row>
        <row r="30">
          <cell r="A30" t="str">
            <v>Lola Interactive</v>
          </cell>
        </row>
        <row r="31">
          <cell r="A31" t="str">
            <v>Lotus Astrologer</v>
          </cell>
        </row>
        <row r="32">
          <cell r="A32" t="str">
            <v>Media Technologies</v>
          </cell>
        </row>
        <row r="33">
          <cell r="A33" t="str">
            <v>Oxone Technologies</v>
          </cell>
        </row>
        <row r="34">
          <cell r="A34" t="str">
            <v>Rentabiliweb</v>
          </cell>
        </row>
        <row r="35">
          <cell r="A35" t="str">
            <v>RPM Wireless</v>
          </cell>
        </row>
        <row r="36">
          <cell r="A36" t="str">
            <v>Satina International Sàrl</v>
          </cell>
        </row>
        <row r="37">
          <cell r="A37" t="str">
            <v>Technowait - Tootelo</v>
          </cell>
        </row>
        <row r="38">
          <cell r="A38" t="str">
            <v>Telemedia InteracTV Limited - GameTime</v>
          </cell>
        </row>
        <row r="39">
          <cell r="A39" t="str">
            <v>Telephun International LLC</v>
          </cell>
        </row>
        <row r="40">
          <cell r="A40" t="str">
            <v>Tel-Max</v>
          </cell>
        </row>
        <row r="41">
          <cell r="A41" t="str">
            <v>Totaltel</v>
          </cell>
        </row>
        <row r="42">
          <cell r="A42" t="str">
            <v>TTF</v>
          </cell>
        </row>
        <row r="43">
          <cell r="A43" t="str">
            <v>TTF - Partenaires</v>
          </cell>
        </row>
        <row r="44">
          <cell r="A44" t="str">
            <v>WeinLaw Entreprise LLC</v>
          </cell>
        </row>
      </sheetData>
      <sheetData sheetId="1"/>
      <sheetData sheetId="2">
        <row r="2">
          <cell r="B2" t="str">
            <v>Bloc Temps 900_juillet 17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J2" t="str">
            <v>JOURNAL RIVE-NORD MEDIAS</v>
          </cell>
        </row>
        <row r="3">
          <cell r="B3" t="str">
            <v>Bloc Temps 900_juillet 17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J3" t="str">
            <v>L'ECHO DU NORD</v>
          </cell>
        </row>
        <row r="4">
          <cell r="B4" t="str">
            <v>Bloc Temps 900_juillet 17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J4" t="str">
            <v>JOURNAUX EDITIONS BELCOR REGION GASPESIE</v>
          </cell>
        </row>
        <row r="5">
          <cell r="B5" t="str">
            <v>Bloc Temps 900_juillet 17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J5" t="str">
            <v>Hebdo régional de la Beauce</v>
          </cell>
        </row>
        <row r="6">
          <cell r="B6" t="str">
            <v>Bloc Temps 900_juillet 17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J6" t="str">
            <v>JOURNAL INFORMATION DU NORD</v>
          </cell>
        </row>
        <row r="7">
          <cell r="B7" t="str">
            <v>Bloc Temps 900_juillet 17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J7" t="str">
            <v>Journal Le Droit</v>
          </cell>
        </row>
        <row r="8">
          <cell r="B8" t="str">
            <v>Bloc Temps 900_juillet 17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J8" t="str">
            <v>La Press Ltée</v>
          </cell>
        </row>
        <row r="9">
          <cell r="B9" t="str">
            <v>Bloc Temps 900_juillet 17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J9" t="str">
            <v>Le Courrier de St-Hyacinthe</v>
          </cell>
        </row>
        <row r="10">
          <cell r="B10" t="str">
            <v>Bloc Temps 900_juillet 17</v>
          </cell>
          <cell r="C10">
            <v>3</v>
          </cell>
          <cell r="D10">
            <v>65.400000000000006</v>
          </cell>
          <cell r="E10">
            <v>-1.6350000000000002</v>
          </cell>
          <cell r="F10">
            <v>63.765000000000001</v>
          </cell>
          <cell r="J10" t="str">
            <v>JOURNAL LE NOUVELLISTE (1982) LTEE</v>
          </cell>
        </row>
        <row r="11">
          <cell r="B11" t="str">
            <v>Bloc Temps 900_juillet 17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J11" t="str">
            <v>JOURNAL LE QUOTIDIEN (PROGRES-DIMANCHE)</v>
          </cell>
        </row>
        <row r="12">
          <cell r="B12" t="str">
            <v>Bloc Temps 900_juillet 17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J12" t="str">
            <v>JOURNAL LE REVEIL</v>
          </cell>
        </row>
        <row r="13">
          <cell r="B13" t="str">
            <v>Bloc Temps 900_juillet 17</v>
          </cell>
          <cell r="C13">
            <v>1</v>
          </cell>
          <cell r="D13">
            <v>21.8</v>
          </cell>
          <cell r="E13">
            <v>-0.54500000000000004</v>
          </cell>
          <cell r="F13">
            <v>21.254999999999999</v>
          </cell>
          <cell r="J13" t="str">
            <v>JOURNAL LE SOLEIL</v>
          </cell>
        </row>
        <row r="14">
          <cell r="B14" t="str">
            <v>Bloc Temps 900_juillet 17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J14" t="str">
            <v>JOURNAL ST-LAURENT PORTAGE</v>
          </cell>
        </row>
        <row r="15">
          <cell r="B15" t="str">
            <v>Bloc Temps 900_juillet 17</v>
          </cell>
          <cell r="C15">
            <v>6</v>
          </cell>
          <cell r="D15">
            <v>130.80000000000001</v>
          </cell>
          <cell r="E15">
            <v>-3.2700000000000005</v>
          </cell>
          <cell r="F15">
            <v>127.53</v>
          </cell>
          <cell r="J15" t="str">
            <v>CITOYEN DE LA VALLEE DE L'OR</v>
          </cell>
        </row>
        <row r="16">
          <cell r="B16" t="str">
            <v>Bloc Temps 900_juillet 17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J16" t="str">
            <v>JOURNAL PAYS D'EN HAUT</v>
          </cell>
        </row>
        <row r="17">
          <cell r="B17" t="str">
            <v>Bloc Temps 900_juillet 17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J17" t="str">
            <v>LE PEUPLE DE LEVIS</v>
          </cell>
        </row>
        <row r="18">
          <cell r="B18" t="str">
            <v>Bloc Temps 900_juillet 17</v>
          </cell>
          <cell r="C18">
            <v>1</v>
          </cell>
          <cell r="D18">
            <v>21.8</v>
          </cell>
          <cell r="E18">
            <v>-0.54500000000000004</v>
          </cell>
          <cell r="F18">
            <v>21.254999999999999</v>
          </cell>
          <cell r="J18" t="str">
            <v>Promotion G&amp;P (Match Phone)</v>
          </cell>
        </row>
        <row r="19">
          <cell r="B19" t="str">
            <v>Bloc Temps 900_juillet 17</v>
          </cell>
          <cell r="C19">
            <v>2</v>
          </cell>
          <cell r="D19">
            <v>43.6</v>
          </cell>
          <cell r="E19">
            <v>-1.0900000000000001</v>
          </cell>
          <cell r="F19">
            <v>42.51</v>
          </cell>
          <cell r="J19" t="str">
            <v>JOURNAUX EDITIONS BELCOR REGION RIMOUSKI</v>
          </cell>
        </row>
        <row r="20">
          <cell r="B20" t="str">
            <v>Bloc Temps 900_juillet 17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J20" t="str">
            <v>JOURNAL LA TRIBUNE DE SHERBROOKE</v>
          </cell>
        </row>
        <row r="21">
          <cell r="B21" t="str">
            <v>Bloc Temps 900_juillet 17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J21" t="str">
            <v>JOURNAL LA VOIX DE L'EST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editdirect@lesole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 filterMode="1">
    <pageSetUpPr autoPageBreaks="0" fitToPage="1"/>
  </sheetPr>
  <dimension ref="A1:AH132"/>
  <sheetViews>
    <sheetView showGridLines="0" tabSelected="1" topLeftCell="I1" workbookViewId="0">
      <selection activeCell="M10" sqref="M10"/>
    </sheetView>
  </sheetViews>
  <sheetFormatPr baseColWidth="10" defaultRowHeight="15"/>
  <cols>
    <col min="13" max="13" width="35" customWidth="1"/>
    <col min="14" max="14" width="12.85546875" customWidth="1"/>
    <col min="15" max="15" width="20" bestFit="1" customWidth="1"/>
    <col min="16" max="16" width="13.7109375" customWidth="1"/>
    <col min="17" max="17" width="16.7109375" bestFit="1" customWidth="1"/>
    <col min="18" max="18" width="17.7109375" customWidth="1"/>
    <col min="19" max="19" width="1.5703125" customWidth="1"/>
    <col min="20" max="20" width="43.140625" style="42" bestFit="1" customWidth="1"/>
    <col min="21" max="21" width="10.42578125" bestFit="1" customWidth="1"/>
    <col min="31" max="31" width="24.85546875" bestFit="1" customWidth="1"/>
    <col min="32" max="32" width="47.42578125" bestFit="1" customWidth="1"/>
  </cols>
  <sheetData>
    <row r="1" spans="1:34" ht="16.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L1" s="3"/>
      <c r="M1" s="3"/>
      <c r="N1" s="3"/>
      <c r="O1" s="3"/>
      <c r="P1" s="3"/>
      <c r="Q1" s="3"/>
      <c r="R1" s="3"/>
      <c r="S1" s="3"/>
      <c r="T1" s="4"/>
      <c r="AE1" s="5" t="str">
        <f>IF(VLOOKUP(M10,A:I,8,FALSE)="","compta@voxtel.com",VLOOKUP(M10,A:I,8,FALSE))</f>
        <v>creditdirect@lesoleil.com</v>
      </c>
    </row>
    <row r="2" spans="1:34" ht="15.75" thickTop="1">
      <c r="A2" s="6" t="s">
        <v>10</v>
      </c>
      <c r="B2" s="6"/>
      <c r="C2" s="6" t="s">
        <v>11</v>
      </c>
      <c r="D2" s="6" t="s">
        <v>12</v>
      </c>
      <c r="E2" s="6" t="s">
        <v>13</v>
      </c>
      <c r="F2" s="6">
        <v>0</v>
      </c>
      <c r="G2" s="6" t="s">
        <v>14</v>
      </c>
      <c r="H2" s="6" t="s">
        <v>15</v>
      </c>
      <c r="I2" s="7" t="s">
        <v>16</v>
      </c>
      <c r="J2" s="8" t="s">
        <v>16</v>
      </c>
      <c r="L2" s="3"/>
      <c r="M2" s="3"/>
      <c r="N2" s="3"/>
      <c r="O2" s="3"/>
      <c r="P2" s="3"/>
      <c r="Q2" s="3"/>
      <c r="R2" s="3"/>
      <c r="S2" s="3"/>
      <c r="T2" s="4"/>
    </row>
    <row r="3" spans="1:34">
      <c r="A3" s="9" t="s">
        <v>17</v>
      </c>
      <c r="B3" s="9"/>
      <c r="C3" s="9" t="s">
        <v>18</v>
      </c>
      <c r="D3" s="9" t="s">
        <v>19</v>
      </c>
      <c r="E3" s="9" t="s">
        <v>20</v>
      </c>
      <c r="F3" s="9">
        <v>0</v>
      </c>
      <c r="G3" s="9" t="s">
        <v>14</v>
      </c>
      <c r="H3" s="9" t="s">
        <v>15</v>
      </c>
      <c r="I3" s="10" t="s">
        <v>16</v>
      </c>
      <c r="J3" s="11" t="s">
        <v>16</v>
      </c>
      <c r="L3" s="3"/>
      <c r="M3" s="3"/>
      <c r="N3" s="3"/>
      <c r="O3" s="3"/>
      <c r="P3" s="3"/>
      <c r="Q3" s="3"/>
      <c r="R3" s="3"/>
      <c r="S3" s="3"/>
      <c r="T3" s="4"/>
    </row>
    <row r="4" spans="1:34">
      <c r="A4" s="12" t="s">
        <v>21</v>
      </c>
      <c r="B4" s="12"/>
      <c r="C4" s="12" t="s">
        <v>22</v>
      </c>
      <c r="D4" s="12" t="s">
        <v>23</v>
      </c>
      <c r="E4" s="12" t="s">
        <v>24</v>
      </c>
      <c r="F4" s="12">
        <v>0</v>
      </c>
      <c r="G4" s="12" t="s">
        <v>14</v>
      </c>
      <c r="H4" s="12" t="s">
        <v>15</v>
      </c>
      <c r="I4" s="13" t="s">
        <v>16</v>
      </c>
      <c r="J4" s="14" t="s">
        <v>16</v>
      </c>
      <c r="L4" s="3"/>
      <c r="M4" s="3"/>
      <c r="N4" s="3"/>
      <c r="O4" s="3"/>
      <c r="P4" s="3"/>
      <c r="Q4" s="3"/>
      <c r="R4" s="3"/>
      <c r="S4" s="3"/>
      <c r="T4" s="4"/>
    </row>
    <row r="5" spans="1:34">
      <c r="A5" s="9" t="s">
        <v>25</v>
      </c>
      <c r="B5" s="9"/>
      <c r="C5" s="9" t="s">
        <v>26</v>
      </c>
      <c r="D5" s="9" t="s">
        <v>27</v>
      </c>
      <c r="E5" s="9" t="s">
        <v>28</v>
      </c>
      <c r="F5" s="9">
        <v>0</v>
      </c>
      <c r="G5" s="9" t="s">
        <v>14</v>
      </c>
      <c r="H5" s="15" t="s">
        <v>15</v>
      </c>
      <c r="I5" s="15" t="s">
        <v>16</v>
      </c>
      <c r="J5" s="16" t="s">
        <v>16</v>
      </c>
      <c r="L5" s="3"/>
      <c r="M5" s="3"/>
      <c r="N5" s="3"/>
      <c r="O5" s="3"/>
      <c r="P5" s="3"/>
      <c r="Q5" s="3"/>
      <c r="R5" s="3"/>
      <c r="S5" s="3"/>
      <c r="T5" s="4"/>
    </row>
    <row r="6" spans="1:34">
      <c r="A6" s="12" t="s">
        <v>29</v>
      </c>
      <c r="B6" s="12"/>
      <c r="C6" s="12" t="s">
        <v>30</v>
      </c>
      <c r="D6" s="12" t="s">
        <v>31</v>
      </c>
      <c r="E6" s="12" t="s">
        <v>32</v>
      </c>
      <c r="F6" s="12">
        <v>0</v>
      </c>
      <c r="G6" s="12" t="s">
        <v>14</v>
      </c>
      <c r="H6" s="12" t="s">
        <v>15</v>
      </c>
      <c r="I6" s="17" t="s">
        <v>16</v>
      </c>
      <c r="J6" s="14" t="s">
        <v>16</v>
      </c>
      <c r="L6" s="3"/>
      <c r="M6" s="3"/>
      <c r="N6" s="3"/>
      <c r="O6" s="3"/>
      <c r="P6" s="3"/>
      <c r="Q6" s="3"/>
      <c r="R6" s="3"/>
      <c r="S6" s="3"/>
      <c r="T6" s="4"/>
    </row>
    <row r="7" spans="1:34">
      <c r="A7" s="9" t="s">
        <v>33</v>
      </c>
      <c r="B7" s="9"/>
      <c r="C7" s="9" t="s">
        <v>34</v>
      </c>
      <c r="D7" s="9" t="s">
        <v>35</v>
      </c>
      <c r="E7" s="9" t="s">
        <v>36</v>
      </c>
      <c r="F7" s="9">
        <v>0</v>
      </c>
      <c r="G7" s="9" t="s">
        <v>14</v>
      </c>
      <c r="H7" s="9" t="s">
        <v>15</v>
      </c>
      <c r="I7" s="17" t="s">
        <v>16</v>
      </c>
      <c r="J7" s="14" t="s">
        <v>16</v>
      </c>
      <c r="L7" s="3"/>
      <c r="N7" s="3"/>
      <c r="O7" s="3"/>
      <c r="P7" s="3"/>
      <c r="Q7" s="3"/>
      <c r="R7" s="3"/>
      <c r="S7" s="3"/>
      <c r="T7" s="4"/>
    </row>
    <row r="8" spans="1:34">
      <c r="A8" s="6" t="s">
        <v>37</v>
      </c>
      <c r="B8" s="6"/>
      <c r="C8" s="6" t="s">
        <v>38</v>
      </c>
      <c r="D8" s="6" t="s">
        <v>39</v>
      </c>
      <c r="E8" s="6" t="s">
        <v>40</v>
      </c>
      <c r="F8" s="6">
        <v>0</v>
      </c>
      <c r="G8" s="6" t="s">
        <v>14</v>
      </c>
      <c r="H8" s="6" t="s">
        <v>41</v>
      </c>
      <c r="I8" s="7" t="s">
        <v>16</v>
      </c>
      <c r="J8" s="8" t="s">
        <v>16</v>
      </c>
      <c r="L8" s="3"/>
      <c r="M8" s="4" t="s">
        <v>42</v>
      </c>
      <c r="N8" s="3"/>
      <c r="O8" s="3"/>
      <c r="P8" s="3"/>
      <c r="Q8" s="3"/>
      <c r="T8" s="4"/>
    </row>
    <row r="9" spans="1:34" ht="18">
      <c r="L9" s="3"/>
      <c r="M9" s="18"/>
      <c r="N9" s="19"/>
      <c r="O9" s="19"/>
      <c r="P9" s="3"/>
      <c r="Q9" s="3"/>
      <c r="T9" s="20"/>
    </row>
    <row r="10" spans="1:34" ht="18">
      <c r="L10" s="3"/>
      <c r="M10" s="21" t="s">
        <v>25</v>
      </c>
      <c r="N10" s="19"/>
      <c r="O10" s="19"/>
      <c r="P10" s="3"/>
      <c r="Q10" s="22"/>
      <c r="R10" s="20" t="s">
        <v>43</v>
      </c>
      <c r="S10" s="20"/>
      <c r="T10" s="4"/>
      <c r="AE10" t="str">
        <f>+CONCATENATE(M10,"  -  ",YEAR(N16),"-",MONTH(N16),"-",1)</f>
        <v>JOURNAL LE NOUVELLISTE (1982) LTEE  -  2017-7-1</v>
      </c>
      <c r="AF10" t="str">
        <f>CONCATENATE("c:\Compta\",YEAR(EDATE(N16,2)),"-",MONTH(EDATE(N16,2)),"-",1,"\",AE10,".pdf")</f>
        <v>c:\Compta\2017-9-1\JOURNAL LE NOUVELLISTE (1982) LTEE  -  2017-7-1.pdf</v>
      </c>
      <c r="AG10" s="23">
        <f>DATE(YEAR(N16),MONTH(N16),1)</f>
        <v>42917</v>
      </c>
      <c r="AH10">
        <f>IF(VLOOKUP(M10,A:I,9,FALSE)="N",0,P1483)</f>
        <v>0</v>
      </c>
    </row>
    <row r="11" spans="1:34">
      <c r="L11" s="3"/>
      <c r="M11" s="18"/>
      <c r="N11" s="19"/>
      <c r="O11" s="19"/>
      <c r="P11" s="3"/>
      <c r="Q11" s="3"/>
      <c r="R11" s="3"/>
      <c r="S11" s="3"/>
      <c r="T11" s="4"/>
      <c r="AF11" t="str">
        <f>CONCATENATE("c:\Compta\",YEAR(EDATE(N16,2)),"-",MONTH(EDATE(N16,2)),"-",1,"\",AE10,".csv")</f>
        <v>c:\Compta\2017-9-1\JOURNAL LE NOUVELLISTE (1982) LTEE  -  2017-7-1.csv</v>
      </c>
      <c r="AG11" t="str">
        <f>+CONCATENATE(YEAR(EDATE(N16,2)),"-",MONTH(EDATE(N16,2)),"-",1)</f>
        <v>2017-9-1</v>
      </c>
    </row>
    <row r="12" spans="1:34">
      <c r="I12" s="24" t="s">
        <v>10</v>
      </c>
      <c r="L12" s="3"/>
      <c r="M12" s="18" t="str">
        <f>VLOOKUP(M10,A:C,3,FALSE)</f>
        <v xml:space="preserve">1920, rue Bellefeuille - </v>
      </c>
      <c r="N12" s="19"/>
      <c r="O12" s="19"/>
      <c r="P12" s="3"/>
      <c r="Q12" s="3"/>
      <c r="R12" s="3"/>
      <c r="S12" s="3"/>
      <c r="T12" s="4"/>
    </row>
    <row r="13" spans="1:34">
      <c r="I13" s="21" t="s">
        <v>17</v>
      </c>
      <c r="L13" s="3"/>
      <c r="M13" s="18" t="str">
        <f>VLOOKUP(M10,A:D,4,FALSE)</f>
        <v>Trois-Rivières. Qc</v>
      </c>
      <c r="N13" s="19"/>
      <c r="O13" s="19"/>
      <c r="P13" s="3"/>
      <c r="Q13" s="3"/>
      <c r="R13" s="25" t="s">
        <v>44</v>
      </c>
      <c r="S13" s="25"/>
      <c r="T13" s="26"/>
    </row>
    <row r="14" spans="1:34">
      <c r="I14" s="21" t="s">
        <v>21</v>
      </c>
      <c r="L14" s="3"/>
      <c r="M14" t="str">
        <f>VLOOKUP(M10,A:E,5,FALSE)</f>
        <v>G9A 3Y2 - Canada</v>
      </c>
      <c r="N14" s="3"/>
      <c r="O14" s="3"/>
      <c r="P14" s="3"/>
      <c r="Q14" s="3"/>
      <c r="R14" s="3"/>
      <c r="S14" s="3"/>
      <c r="T14" s="4"/>
    </row>
    <row r="15" spans="1:34">
      <c r="I15" s="21" t="s">
        <v>25</v>
      </c>
      <c r="L15" s="3"/>
      <c r="M15" s="3"/>
      <c r="N15" s="3"/>
      <c r="O15" s="3"/>
      <c r="P15" s="3"/>
      <c r="Q15" s="3"/>
      <c r="R15" s="3"/>
      <c r="S15" s="3"/>
      <c r="T15" s="4"/>
    </row>
    <row r="16" spans="1:34">
      <c r="I16" s="21" t="s">
        <v>29</v>
      </c>
      <c r="L16" s="3"/>
      <c r="M16" s="4" t="s">
        <v>45</v>
      </c>
      <c r="N16" s="27">
        <f>U19</f>
        <v>42917</v>
      </c>
      <c r="P16" s="3"/>
      <c r="Q16" s="3"/>
      <c r="R16" s="3"/>
      <c r="S16" s="3"/>
      <c r="T16" s="4"/>
    </row>
    <row r="17" spans="1:22">
      <c r="I17" s="21" t="s">
        <v>33</v>
      </c>
      <c r="L17" s="3"/>
      <c r="M17" s="3"/>
      <c r="N17" s="3"/>
      <c r="O17" s="3"/>
      <c r="P17" s="3"/>
      <c r="Q17" s="3"/>
      <c r="R17" s="3"/>
      <c r="S17" s="3"/>
      <c r="T17" s="4"/>
    </row>
    <row r="18" spans="1:22" ht="26.25">
      <c r="I18" s="24" t="s">
        <v>37</v>
      </c>
      <c r="M18" s="28" t="s">
        <v>46</v>
      </c>
      <c r="N18" s="28" t="s">
        <v>47</v>
      </c>
      <c r="O18" s="28" t="s">
        <v>48</v>
      </c>
      <c r="P18" s="28" t="s">
        <v>49</v>
      </c>
      <c r="Q18" s="28" t="s">
        <v>50</v>
      </c>
      <c r="R18" s="28" t="s">
        <v>51</v>
      </c>
      <c r="S18" s="29"/>
      <c r="T18" s="30" t="s">
        <v>0</v>
      </c>
      <c r="U18" s="30" t="s">
        <v>52</v>
      </c>
      <c r="V18" s="31" t="s">
        <v>53</v>
      </c>
    </row>
    <row r="19" spans="1:22" hidden="1">
      <c r="I19" s="32"/>
      <c r="M19" s="33">
        <v>8198232033</v>
      </c>
      <c r="N19" s="34">
        <v>61</v>
      </c>
      <c r="O19" s="35">
        <f>391.69-[1]animatrices_stats!X24</f>
        <v>391.69</v>
      </c>
      <c r="P19" s="36">
        <v>0</v>
      </c>
      <c r="Q19" s="36">
        <v>-195.84500000000011</v>
      </c>
      <c r="R19" s="36">
        <f>O19+P19+Q19</f>
        <v>195.84499999999989</v>
      </c>
      <c r="S19" s="37">
        <v>0</v>
      </c>
      <c r="T19" s="38" t="s">
        <v>10</v>
      </c>
      <c r="U19" s="23">
        <v>42917</v>
      </c>
      <c r="V19" s="39" t="str">
        <f>IF(T19=$M$10,"x","")</f>
        <v/>
      </c>
    </row>
    <row r="20" spans="1:22" hidden="1">
      <c r="M20" s="33">
        <v>9005244460</v>
      </c>
      <c r="N20" s="34">
        <v>5</v>
      </c>
      <c r="O20" s="35">
        <v>9.16</v>
      </c>
      <c r="P20" s="36">
        <v>0</v>
      </c>
      <c r="Q20" s="36">
        <v>-39.68</v>
      </c>
      <c r="R20" s="36">
        <v>-30.52</v>
      </c>
      <c r="S20" s="37">
        <v>0</v>
      </c>
      <c r="T20" s="38" t="s">
        <v>10</v>
      </c>
      <c r="U20" s="23">
        <f>$U$19</f>
        <v>42917</v>
      </c>
      <c r="V20" s="39" t="str">
        <f t="shared" ref="V20:V78" si="0">IF(T20=$M$10,"x","")</f>
        <v/>
      </c>
    </row>
    <row r="21" spans="1:22" hidden="1">
      <c r="M21" s="33">
        <v>9007894460</v>
      </c>
      <c r="N21" s="34">
        <v>66</v>
      </c>
      <c r="O21" s="35">
        <v>407.62000000000018</v>
      </c>
      <c r="P21" s="36">
        <v>0</v>
      </c>
      <c r="Q21" s="36">
        <v>-240.1100000000001</v>
      </c>
      <c r="R21" s="36">
        <v>167.51000000000008</v>
      </c>
      <c r="S21" s="37">
        <v>0</v>
      </c>
      <c r="T21" s="38" t="s">
        <v>10</v>
      </c>
      <c r="U21" s="23">
        <f t="shared" ref="U21:U78" si="1">$U$19</f>
        <v>42917</v>
      </c>
      <c r="V21" s="39" t="str">
        <f t="shared" si="0"/>
        <v/>
      </c>
    </row>
    <row r="22" spans="1:22" hidden="1">
      <c r="M22" s="33" t="s">
        <v>54</v>
      </c>
      <c r="N22" s="34">
        <v>24</v>
      </c>
      <c r="O22" s="35">
        <v>144.27000000000004</v>
      </c>
      <c r="P22" s="36">
        <v>0</v>
      </c>
      <c r="Q22" s="36">
        <v>-97.135000000000019</v>
      </c>
      <c r="R22" s="36">
        <v>47.135000000000019</v>
      </c>
      <c r="S22" s="37"/>
      <c r="T22" s="38" t="s">
        <v>10</v>
      </c>
      <c r="U22" s="23">
        <f t="shared" si="1"/>
        <v>42917</v>
      </c>
      <c r="V22" s="39" t="str">
        <f>IF(T22=$M$10,"x","")</f>
        <v/>
      </c>
    </row>
    <row r="23" spans="1:22" hidden="1">
      <c r="M23" s="33" t="s">
        <v>55</v>
      </c>
      <c r="N23" s="34">
        <v>12</v>
      </c>
      <c r="O23" s="35">
        <v>27.479999999999993</v>
      </c>
      <c r="P23" s="36">
        <v>0</v>
      </c>
      <c r="Q23" s="36">
        <v>-38.739999999999995</v>
      </c>
      <c r="R23" s="36">
        <v>-11.260000000000002</v>
      </c>
      <c r="S23" s="37"/>
      <c r="T23" s="38" t="s">
        <v>10</v>
      </c>
      <c r="U23" s="23">
        <f t="shared" si="1"/>
        <v>42917</v>
      </c>
      <c r="V23" s="39" t="str">
        <f t="shared" si="0"/>
        <v/>
      </c>
    </row>
    <row r="24" spans="1:22" hidden="1">
      <c r="M24" s="33" t="s">
        <v>56</v>
      </c>
      <c r="N24" s="34">
        <v>7</v>
      </c>
      <c r="O24" s="35">
        <v>41.219999999999992</v>
      </c>
      <c r="P24" s="36">
        <v>0</v>
      </c>
      <c r="Q24" s="36">
        <v>-45.61</v>
      </c>
      <c r="R24" s="36">
        <v>-4.3900000000000077</v>
      </c>
      <c r="S24" s="37"/>
      <c r="T24" s="38" t="s">
        <v>10</v>
      </c>
      <c r="U24" s="23">
        <f t="shared" si="1"/>
        <v>42917</v>
      </c>
      <c r="V24" s="39" t="str">
        <f t="shared" si="0"/>
        <v/>
      </c>
    </row>
    <row r="25" spans="1:22" hidden="1">
      <c r="M25" s="33" t="s">
        <v>57</v>
      </c>
      <c r="N25" s="34">
        <v>18</v>
      </c>
      <c r="O25" s="35">
        <v>41.219999999999992</v>
      </c>
      <c r="P25" s="36">
        <v>0</v>
      </c>
      <c r="Q25" s="36">
        <v>-45.61</v>
      </c>
      <c r="R25" s="36">
        <v>-4.3900000000000077</v>
      </c>
      <c r="S25" s="37"/>
      <c r="T25" s="38" t="s">
        <v>10</v>
      </c>
      <c r="U25" s="23">
        <f t="shared" si="1"/>
        <v>42917</v>
      </c>
      <c r="V25" s="39" t="str">
        <f t="shared" si="0"/>
        <v/>
      </c>
    </row>
    <row r="26" spans="1:22" hidden="1">
      <c r="M26" s="33" t="s">
        <v>58</v>
      </c>
      <c r="N26" s="34">
        <v>12</v>
      </c>
      <c r="O26" s="35">
        <v>92.69</v>
      </c>
      <c r="P26" s="36">
        <v>0</v>
      </c>
      <c r="Q26" s="36">
        <v>-46.344999999999999</v>
      </c>
      <c r="R26" s="36">
        <v>46.344999999999999</v>
      </c>
      <c r="S26" s="37"/>
      <c r="T26" s="38" t="s">
        <v>10</v>
      </c>
      <c r="U26" s="23">
        <f t="shared" si="1"/>
        <v>42917</v>
      </c>
      <c r="V26" s="39" t="str">
        <f t="shared" si="0"/>
        <v/>
      </c>
    </row>
    <row r="27" spans="1:2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M27" s="33" t="s">
        <v>59</v>
      </c>
      <c r="N27" s="34">
        <v>18</v>
      </c>
      <c r="O27" s="35">
        <v>119.60000000000001</v>
      </c>
      <c r="P27" s="36">
        <v>0</v>
      </c>
      <c r="Q27" s="36">
        <v>-59.800000000000004</v>
      </c>
      <c r="R27" s="36">
        <v>59.800000000000004</v>
      </c>
      <c r="S27" s="37"/>
      <c r="T27" s="38" t="s">
        <v>10</v>
      </c>
      <c r="U27" s="23">
        <f t="shared" si="1"/>
        <v>42917</v>
      </c>
      <c r="V27" s="39" t="str">
        <f t="shared" si="0"/>
        <v/>
      </c>
    </row>
    <row r="28" spans="1:2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M28" s="33" t="s">
        <v>60</v>
      </c>
      <c r="N28" s="34">
        <v>2</v>
      </c>
      <c r="O28" s="35">
        <v>5.98</v>
      </c>
      <c r="P28" s="36">
        <v>0</v>
      </c>
      <c r="Q28" s="36">
        <v>-2.99</v>
      </c>
      <c r="R28" s="36">
        <v>2.99</v>
      </c>
      <c r="S28" s="37"/>
      <c r="T28" s="38" t="s">
        <v>10</v>
      </c>
      <c r="U28" s="23">
        <f t="shared" si="1"/>
        <v>42917</v>
      </c>
      <c r="V28" s="39" t="str">
        <f t="shared" si="0"/>
        <v/>
      </c>
    </row>
    <row r="29" spans="1:22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M29" s="33">
        <v>4507761555</v>
      </c>
      <c r="N29" s="34">
        <v>37</v>
      </c>
      <c r="O29" s="35">
        <f>316.94-[1]animatrices_stats!X27</f>
        <v>316.94</v>
      </c>
      <c r="P29" s="36">
        <v>0</v>
      </c>
      <c r="Q29" s="36">
        <v>-158.47</v>
      </c>
      <c r="R29" s="36">
        <f>O29+Q29</f>
        <v>158.47</v>
      </c>
      <c r="S29" s="37">
        <v>0</v>
      </c>
      <c r="T29" s="38" t="s">
        <v>17</v>
      </c>
      <c r="U29" s="23">
        <f t="shared" si="1"/>
        <v>42917</v>
      </c>
      <c r="V29" s="39" t="str">
        <f t="shared" si="0"/>
        <v/>
      </c>
    </row>
    <row r="30" spans="1:22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M30" s="33">
        <v>9007898032</v>
      </c>
      <c r="N30" s="34">
        <v>128</v>
      </c>
      <c r="O30" s="35">
        <v>1025.92</v>
      </c>
      <c r="P30" s="36">
        <v>0</v>
      </c>
      <c r="Q30" s="36">
        <v>-549.06000000000006</v>
      </c>
      <c r="R30" s="36">
        <v>476.86</v>
      </c>
      <c r="S30" s="37">
        <v>0</v>
      </c>
      <c r="T30" s="38" t="s">
        <v>17</v>
      </c>
      <c r="U30" s="23">
        <f t="shared" si="1"/>
        <v>42917</v>
      </c>
      <c r="V30" s="39" t="str">
        <f t="shared" si="0"/>
        <v/>
      </c>
    </row>
    <row r="31" spans="1:22" hidden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M31" s="33" t="s">
        <v>61</v>
      </c>
      <c r="N31" s="34">
        <f>92/2</f>
        <v>46</v>
      </c>
      <c r="O31" s="35">
        <f>687.83/2</f>
        <v>343.91500000000002</v>
      </c>
      <c r="P31" s="36">
        <v>0</v>
      </c>
      <c r="Q31" s="36">
        <f>-343.915/2</f>
        <v>-171.95750000000001</v>
      </c>
      <c r="R31" s="36">
        <f>O31+Q31</f>
        <v>171.95750000000001</v>
      </c>
      <c r="S31" s="37"/>
      <c r="T31" s="38" t="s">
        <v>17</v>
      </c>
      <c r="U31" s="23">
        <f t="shared" si="1"/>
        <v>42917</v>
      </c>
      <c r="V31" s="39" t="str">
        <f t="shared" si="0"/>
        <v/>
      </c>
    </row>
    <row r="32" spans="1:22" hidden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M32" s="33" t="s">
        <v>62</v>
      </c>
      <c r="N32" s="34">
        <f>610/2</f>
        <v>305</v>
      </c>
      <c r="O32" s="35">
        <f>1396.9/2</f>
        <v>698.45</v>
      </c>
      <c r="P32" s="36">
        <v>0</v>
      </c>
      <c r="Q32" s="36">
        <f>-698.45/2</f>
        <v>-349.22500000000002</v>
      </c>
      <c r="R32" s="36">
        <f>O32+Q32</f>
        <v>349.22500000000002</v>
      </c>
      <c r="S32" s="37"/>
      <c r="T32" s="38" t="s">
        <v>17</v>
      </c>
      <c r="U32" s="23">
        <f t="shared" si="1"/>
        <v>42917</v>
      </c>
      <c r="V32" s="39" t="str">
        <f t="shared" si="0"/>
        <v/>
      </c>
    </row>
    <row r="33" spans="1:22" hidden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M33" s="33" t="s">
        <v>63</v>
      </c>
      <c r="N33" s="34">
        <f>42/2</f>
        <v>21</v>
      </c>
      <c r="O33" s="35">
        <f>361.82/2</f>
        <v>180.91</v>
      </c>
      <c r="P33" s="36">
        <v>0</v>
      </c>
      <c r="Q33" s="36">
        <f>-180.91/2</f>
        <v>-90.454999999999998</v>
      </c>
      <c r="R33" s="36">
        <f>O33+Q33</f>
        <v>90.454999999999998</v>
      </c>
      <c r="S33" s="37"/>
      <c r="T33" s="38" t="s">
        <v>17</v>
      </c>
      <c r="U33" s="23">
        <f t="shared" si="1"/>
        <v>42917</v>
      </c>
      <c r="V33" s="39" t="str">
        <f t="shared" si="0"/>
        <v/>
      </c>
    </row>
    <row r="34" spans="1:22" hidden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M34" s="33" t="s">
        <v>64</v>
      </c>
      <c r="N34" s="34">
        <f>204/2</f>
        <v>102</v>
      </c>
      <c r="O34" s="35">
        <f>467.16/2</f>
        <v>233.58</v>
      </c>
      <c r="P34" s="36">
        <v>0</v>
      </c>
      <c r="Q34" s="36">
        <f>-233.58/2</f>
        <v>-116.79</v>
      </c>
      <c r="R34" s="36">
        <f>O34+Q34</f>
        <v>116.79</v>
      </c>
      <c r="S34" s="37"/>
      <c r="T34" s="38" t="s">
        <v>17</v>
      </c>
      <c r="U34" s="23">
        <f t="shared" si="1"/>
        <v>42917</v>
      </c>
      <c r="V34" s="39" t="str">
        <f t="shared" si="0"/>
        <v/>
      </c>
    </row>
    <row r="35" spans="1:22" hidden="1">
      <c r="M35" s="33" t="s">
        <v>65</v>
      </c>
      <c r="N35" s="34">
        <v>4</v>
      </c>
      <c r="O35" s="35">
        <v>35.880000000000003</v>
      </c>
      <c r="P35" s="36">
        <v>0</v>
      </c>
      <c r="Q35" s="36">
        <v>-17.940000000000001</v>
      </c>
      <c r="R35" s="36">
        <v>17.940000000000001</v>
      </c>
      <c r="S35" s="37"/>
      <c r="T35" s="38" t="s">
        <v>17</v>
      </c>
      <c r="U35" s="23">
        <f t="shared" si="1"/>
        <v>42917</v>
      </c>
      <c r="V35" s="39" t="str">
        <f t="shared" si="0"/>
        <v/>
      </c>
    </row>
    <row r="36" spans="1:22" hidden="1">
      <c r="M36" s="33" t="s">
        <v>66</v>
      </c>
      <c r="N36" s="34">
        <v>1</v>
      </c>
      <c r="O36" s="35">
        <v>5.98</v>
      </c>
      <c r="P36" s="36">
        <v>0</v>
      </c>
      <c r="Q36" s="36">
        <v>-2.99</v>
      </c>
      <c r="R36" s="36">
        <v>2.99</v>
      </c>
      <c r="S36" s="37"/>
      <c r="T36" s="38" t="s">
        <v>17</v>
      </c>
      <c r="U36" s="23">
        <f t="shared" si="1"/>
        <v>42917</v>
      </c>
      <c r="V36" s="39" t="str">
        <f t="shared" si="0"/>
        <v/>
      </c>
    </row>
    <row r="37" spans="1:22" hidden="1">
      <c r="M37" s="33" t="s">
        <v>67</v>
      </c>
      <c r="N37" s="34">
        <v>3</v>
      </c>
      <c r="O37" s="35">
        <v>11.96</v>
      </c>
      <c r="P37" s="36">
        <v>0</v>
      </c>
      <c r="Q37" s="36">
        <v>-5.98</v>
      </c>
      <c r="R37" s="36">
        <v>5.98</v>
      </c>
      <c r="S37" s="37"/>
      <c r="T37" s="38" t="s">
        <v>17</v>
      </c>
      <c r="U37" s="23">
        <f t="shared" si="1"/>
        <v>42917</v>
      </c>
      <c r="V37" s="39" t="str">
        <f t="shared" si="0"/>
        <v/>
      </c>
    </row>
    <row r="38" spans="1:22" hidden="1">
      <c r="M38" s="33">
        <v>8197780888</v>
      </c>
      <c r="N38" s="34">
        <v>11</v>
      </c>
      <c r="O38" s="35">
        <f>176.41-[1]animatrices_stats!X28</f>
        <v>176.41</v>
      </c>
      <c r="P38" s="36">
        <v>0</v>
      </c>
      <c r="Q38" s="36">
        <v>-88.205000000000013</v>
      </c>
      <c r="R38" s="36">
        <f>O38+Q38</f>
        <v>88.204999999999984</v>
      </c>
      <c r="S38" s="37">
        <v>0</v>
      </c>
      <c r="T38" s="38" t="s">
        <v>21</v>
      </c>
      <c r="U38" s="23">
        <f t="shared" si="1"/>
        <v>42917</v>
      </c>
      <c r="V38" s="39" t="str">
        <f t="shared" si="0"/>
        <v/>
      </c>
    </row>
    <row r="39" spans="1:22" hidden="1">
      <c r="M39" s="33">
        <v>9007898033</v>
      </c>
      <c r="N39" s="34">
        <v>42</v>
      </c>
      <c r="O39" s="35">
        <v>332.05</v>
      </c>
      <c r="P39" s="36">
        <v>0</v>
      </c>
      <c r="Q39" s="36">
        <v>-201.42500000000001</v>
      </c>
      <c r="R39" s="36">
        <v>130.625</v>
      </c>
      <c r="S39" s="37">
        <v>0</v>
      </c>
      <c r="T39" s="38" t="s">
        <v>21</v>
      </c>
      <c r="U39" s="23">
        <f t="shared" si="1"/>
        <v>42917</v>
      </c>
      <c r="V39" s="39" t="str">
        <f t="shared" si="0"/>
        <v/>
      </c>
    </row>
    <row r="40" spans="1:22" hidden="1">
      <c r="M40" s="33" t="s">
        <v>68</v>
      </c>
      <c r="N40" s="34">
        <v>6</v>
      </c>
      <c r="O40" s="35">
        <v>32.06</v>
      </c>
      <c r="P40" s="36">
        <v>0</v>
      </c>
      <c r="Q40" s="36">
        <v>-41.03</v>
      </c>
      <c r="R40" s="36">
        <v>-8.9699999999999989</v>
      </c>
      <c r="S40" s="37"/>
      <c r="T40" s="38" t="s">
        <v>21</v>
      </c>
      <c r="U40" s="23">
        <f t="shared" si="1"/>
        <v>42917</v>
      </c>
      <c r="V40" s="39" t="str">
        <f t="shared" si="0"/>
        <v/>
      </c>
    </row>
    <row r="41" spans="1:22" hidden="1">
      <c r="M41" s="33" t="s">
        <v>69</v>
      </c>
      <c r="N41" s="34">
        <v>7</v>
      </c>
      <c r="O41" s="35">
        <v>16.03</v>
      </c>
      <c r="P41" s="36">
        <v>0</v>
      </c>
      <c r="Q41" s="36">
        <v>-33.015000000000001</v>
      </c>
      <c r="R41" s="36">
        <v>-16.984999999999999</v>
      </c>
      <c r="S41" s="37"/>
      <c r="T41" s="38" t="s">
        <v>21</v>
      </c>
      <c r="U41" s="23">
        <f t="shared" si="1"/>
        <v>42917</v>
      </c>
      <c r="V41" s="39" t="str">
        <f t="shared" si="0"/>
        <v/>
      </c>
    </row>
    <row r="42" spans="1:22" hidden="1">
      <c r="M42" s="33" t="s">
        <v>70</v>
      </c>
      <c r="N42" s="34">
        <v>17</v>
      </c>
      <c r="O42" s="35">
        <v>96.18</v>
      </c>
      <c r="P42" s="36">
        <v>0</v>
      </c>
      <c r="Q42" s="36">
        <v>-73.09</v>
      </c>
      <c r="R42" s="36">
        <v>23.090000000000003</v>
      </c>
      <c r="S42" s="37"/>
      <c r="T42" s="38" t="s">
        <v>21</v>
      </c>
      <c r="U42" s="23">
        <f t="shared" si="1"/>
        <v>42917</v>
      </c>
      <c r="V42" s="39" t="str">
        <f t="shared" si="0"/>
        <v/>
      </c>
    </row>
    <row r="43" spans="1:22" hidden="1">
      <c r="M43" s="33" t="s">
        <v>71</v>
      </c>
      <c r="N43" s="34">
        <v>26</v>
      </c>
      <c r="O43" s="35">
        <v>59.54</v>
      </c>
      <c r="P43" s="36">
        <v>0</v>
      </c>
      <c r="Q43" s="36">
        <v>-54.769999999999996</v>
      </c>
      <c r="R43" s="36">
        <v>4.7700000000000031</v>
      </c>
      <c r="S43" s="37"/>
      <c r="T43" s="38" t="s">
        <v>21</v>
      </c>
      <c r="U43" s="23">
        <f t="shared" si="1"/>
        <v>42917</v>
      </c>
      <c r="V43" s="39" t="str">
        <f t="shared" si="0"/>
        <v/>
      </c>
    </row>
    <row r="44" spans="1:22" hidden="1">
      <c r="M44" s="33" t="s">
        <v>72</v>
      </c>
      <c r="N44" s="34">
        <v>3</v>
      </c>
      <c r="O44" s="35">
        <v>14.950000000000001</v>
      </c>
      <c r="P44" s="36">
        <v>0</v>
      </c>
      <c r="Q44" s="36">
        <v>-7.4750000000000005</v>
      </c>
      <c r="R44" s="36">
        <v>7.4750000000000005</v>
      </c>
      <c r="S44" s="37"/>
      <c r="T44" s="38" t="s">
        <v>21</v>
      </c>
      <c r="U44" s="23">
        <f t="shared" si="1"/>
        <v>42917</v>
      </c>
      <c r="V44" s="39" t="str">
        <f t="shared" si="0"/>
        <v/>
      </c>
    </row>
    <row r="45" spans="1:22" hidden="1">
      <c r="M45" s="33" t="s">
        <v>73</v>
      </c>
      <c r="N45" s="34">
        <v>6</v>
      </c>
      <c r="O45" s="35">
        <v>29.900000000000002</v>
      </c>
      <c r="P45" s="36">
        <v>0</v>
      </c>
      <c r="Q45" s="36">
        <v>-14.950000000000001</v>
      </c>
      <c r="R45" s="36">
        <v>14.950000000000001</v>
      </c>
      <c r="S45" s="37"/>
      <c r="T45" s="38" t="s">
        <v>21</v>
      </c>
      <c r="U45" s="23">
        <f t="shared" si="1"/>
        <v>42917</v>
      </c>
      <c r="V45" s="39" t="str">
        <f t="shared" si="0"/>
        <v/>
      </c>
    </row>
    <row r="46" spans="1:22">
      <c r="M46" s="33">
        <v>8193797979</v>
      </c>
      <c r="N46" s="34">
        <v>23</v>
      </c>
      <c r="O46" s="35">
        <v>119.6</v>
      </c>
      <c r="P46" s="36">
        <f>-[1]animatrices_stats!X29</f>
        <v>0</v>
      </c>
      <c r="Q46" s="36">
        <v>-59.8</v>
      </c>
      <c r="R46" s="36">
        <f>O46+P46+Q46</f>
        <v>59.8</v>
      </c>
      <c r="S46" s="37">
        <v>0</v>
      </c>
      <c r="T46" s="38" t="s">
        <v>25</v>
      </c>
      <c r="U46" s="23">
        <f t="shared" si="1"/>
        <v>42917</v>
      </c>
      <c r="V46" s="39" t="str">
        <f t="shared" si="0"/>
        <v>x</v>
      </c>
    </row>
    <row r="47" spans="1:22">
      <c r="M47" s="33">
        <v>9007880303</v>
      </c>
      <c r="N47" s="34">
        <v>53</v>
      </c>
      <c r="O47" s="35">
        <v>510.67000000000013</v>
      </c>
      <c r="P47" s="36">
        <v>-23.7</v>
      </c>
      <c r="Q47" s="36">
        <v>-290.73500000000001</v>
      </c>
      <c r="R47" s="36">
        <v>196.23500000000013</v>
      </c>
      <c r="S47" s="37">
        <v>0</v>
      </c>
      <c r="T47" s="38" t="s">
        <v>25</v>
      </c>
      <c r="U47" s="23">
        <f t="shared" si="1"/>
        <v>42917</v>
      </c>
      <c r="V47" s="39" t="str">
        <f t="shared" si="0"/>
        <v>x</v>
      </c>
    </row>
    <row r="48" spans="1:22">
      <c r="M48" s="33" t="s">
        <v>74</v>
      </c>
      <c r="N48" s="34">
        <f>92/2</f>
        <v>46</v>
      </c>
      <c r="O48" s="35">
        <f>687.83/2</f>
        <v>343.91500000000002</v>
      </c>
      <c r="P48" s="36">
        <v>0</v>
      </c>
      <c r="Q48" s="36">
        <f>-343.915/2</f>
        <v>-171.95750000000001</v>
      </c>
      <c r="R48" s="36">
        <f>O48+Q48</f>
        <v>171.95750000000001</v>
      </c>
      <c r="S48" s="37"/>
      <c r="T48" s="38" t="s">
        <v>25</v>
      </c>
      <c r="U48" s="23">
        <f t="shared" si="1"/>
        <v>42917</v>
      </c>
      <c r="V48" s="39" t="str">
        <f t="shared" si="0"/>
        <v>x</v>
      </c>
    </row>
    <row r="49" spans="13:22">
      <c r="M49" s="33" t="s">
        <v>75</v>
      </c>
      <c r="N49" s="34">
        <f>610/2</f>
        <v>305</v>
      </c>
      <c r="O49" s="35">
        <f>1396.9/2</f>
        <v>698.45</v>
      </c>
      <c r="P49" s="36">
        <v>0</v>
      </c>
      <c r="Q49" s="36">
        <f>-698.45/2</f>
        <v>-349.22500000000002</v>
      </c>
      <c r="R49" s="36">
        <f>O49+Q49</f>
        <v>349.22500000000002</v>
      </c>
      <c r="S49" s="37"/>
      <c r="T49" s="38" t="s">
        <v>25</v>
      </c>
      <c r="U49" s="23">
        <f t="shared" si="1"/>
        <v>42917</v>
      </c>
      <c r="V49" s="39" t="str">
        <f t="shared" si="0"/>
        <v>x</v>
      </c>
    </row>
    <row r="50" spans="13:22">
      <c r="M50" s="33" t="s">
        <v>76</v>
      </c>
      <c r="N50" s="34">
        <f>42/2</f>
        <v>21</v>
      </c>
      <c r="O50" s="35">
        <f>361.82/2</f>
        <v>180.91</v>
      </c>
      <c r="P50" s="36">
        <v>0</v>
      </c>
      <c r="Q50" s="36">
        <f>-180.91/2</f>
        <v>-90.454999999999998</v>
      </c>
      <c r="R50" s="36">
        <f>O50+Q50</f>
        <v>90.454999999999998</v>
      </c>
      <c r="S50" s="37"/>
      <c r="T50" s="38" t="s">
        <v>25</v>
      </c>
      <c r="U50" s="23">
        <f t="shared" si="1"/>
        <v>42917</v>
      </c>
      <c r="V50" s="39" t="str">
        <f t="shared" si="0"/>
        <v>x</v>
      </c>
    </row>
    <row r="51" spans="13:22">
      <c r="M51" s="33" t="s">
        <v>77</v>
      </c>
      <c r="N51" s="34">
        <f>204/2</f>
        <v>102</v>
      </c>
      <c r="O51" s="35">
        <f>467.16/2</f>
        <v>233.58</v>
      </c>
      <c r="P51" s="36">
        <v>0</v>
      </c>
      <c r="Q51" s="36">
        <f>-233.58/2</f>
        <v>-116.79</v>
      </c>
      <c r="R51" s="36">
        <f>O51+Q51</f>
        <v>116.79</v>
      </c>
      <c r="S51" s="37"/>
      <c r="T51" s="38" t="s">
        <v>25</v>
      </c>
      <c r="U51" s="23">
        <f t="shared" si="1"/>
        <v>42917</v>
      </c>
      <c r="V51" s="39" t="str">
        <f t="shared" si="0"/>
        <v>x</v>
      </c>
    </row>
    <row r="52" spans="13:22">
      <c r="M52" s="33" t="s">
        <v>78</v>
      </c>
      <c r="N52" s="34">
        <v>4</v>
      </c>
      <c r="O52" s="35">
        <v>20.93</v>
      </c>
      <c r="P52" s="36">
        <v>0</v>
      </c>
      <c r="Q52" s="36">
        <v>-10.465</v>
      </c>
      <c r="R52" s="36">
        <v>10.465</v>
      </c>
      <c r="S52" s="37"/>
      <c r="T52" s="38" t="s">
        <v>25</v>
      </c>
      <c r="U52" s="23">
        <f t="shared" si="1"/>
        <v>42917</v>
      </c>
      <c r="V52" s="39" t="str">
        <f t="shared" si="0"/>
        <v>x</v>
      </c>
    </row>
    <row r="53" spans="13:22">
      <c r="M53" s="33" t="s">
        <v>79</v>
      </c>
      <c r="N53" s="34">
        <v>7</v>
      </c>
      <c r="O53" s="35">
        <v>161.45999999999998</v>
      </c>
      <c r="P53" s="36">
        <v>0</v>
      </c>
      <c r="Q53" s="36">
        <v>-80.72999999999999</v>
      </c>
      <c r="R53" s="36">
        <v>80.72999999999999</v>
      </c>
      <c r="S53" s="37"/>
      <c r="T53" s="38" t="s">
        <v>25</v>
      </c>
      <c r="U53" s="23">
        <f t="shared" si="1"/>
        <v>42917</v>
      </c>
      <c r="V53" s="39" t="str">
        <f t="shared" si="0"/>
        <v>x</v>
      </c>
    </row>
    <row r="54" spans="13:22">
      <c r="M54" s="33" t="s">
        <v>80</v>
      </c>
      <c r="N54" s="34">
        <v>6</v>
      </c>
      <c r="O54" s="35">
        <v>26.91</v>
      </c>
      <c r="P54" s="36">
        <v>0</v>
      </c>
      <c r="Q54" s="36">
        <v>-13.455</v>
      </c>
      <c r="R54" s="36">
        <v>13.455</v>
      </c>
      <c r="S54" s="37"/>
      <c r="T54" s="38" t="s">
        <v>25</v>
      </c>
      <c r="U54" s="23">
        <f t="shared" si="1"/>
        <v>42917</v>
      </c>
      <c r="V54" s="39" t="str">
        <f t="shared" si="0"/>
        <v>x</v>
      </c>
    </row>
    <row r="55" spans="13:22" hidden="1">
      <c r="M55" s="33">
        <v>4186982777</v>
      </c>
      <c r="N55" s="34">
        <v>33</v>
      </c>
      <c r="O55" s="35">
        <f>343.85-[1]animatrices_stats!X23</f>
        <v>343.85</v>
      </c>
      <c r="P55" s="36">
        <v>0</v>
      </c>
      <c r="Q55" s="36">
        <v>-171.92499999999998</v>
      </c>
      <c r="R55" s="36">
        <f>O55+P55+Q55</f>
        <v>171.92500000000004</v>
      </c>
      <c r="S55" s="37">
        <v>0</v>
      </c>
      <c r="T55" s="38" t="s">
        <v>29</v>
      </c>
      <c r="U55" s="23">
        <f t="shared" si="1"/>
        <v>42917</v>
      </c>
      <c r="V55" s="39" t="str">
        <f t="shared" si="0"/>
        <v/>
      </c>
    </row>
    <row r="56" spans="13:22" hidden="1">
      <c r="M56" s="33">
        <v>9007897777</v>
      </c>
      <c r="N56" s="34">
        <v>79</v>
      </c>
      <c r="O56" s="35">
        <v>714.48000000000036</v>
      </c>
      <c r="P56" s="36">
        <v>0</v>
      </c>
      <c r="Q56" s="36">
        <v>-393.04000000000019</v>
      </c>
      <c r="R56" s="36">
        <v>321.44000000000017</v>
      </c>
      <c r="S56" s="37">
        <v>0</v>
      </c>
      <c r="T56" s="38" t="s">
        <v>29</v>
      </c>
      <c r="U56" s="23">
        <f t="shared" si="1"/>
        <v>42917</v>
      </c>
      <c r="V56" s="39" t="str">
        <f t="shared" si="0"/>
        <v/>
      </c>
    </row>
    <row r="57" spans="13:22" hidden="1">
      <c r="M57" s="33" t="s">
        <v>81</v>
      </c>
      <c r="N57" s="34">
        <v>3</v>
      </c>
      <c r="O57" s="35">
        <v>14.950000000000001</v>
      </c>
      <c r="P57" s="36">
        <v>0</v>
      </c>
      <c r="Q57" s="36">
        <v>-7.4750000000000005</v>
      </c>
      <c r="R57" s="36">
        <v>7.4750000000000005</v>
      </c>
      <c r="S57" s="37"/>
      <c r="T57" s="38" t="s">
        <v>29</v>
      </c>
      <c r="U57" s="23">
        <f t="shared" si="1"/>
        <v>42917</v>
      </c>
      <c r="V57" s="39" t="str">
        <f t="shared" si="0"/>
        <v/>
      </c>
    </row>
    <row r="58" spans="13:22" hidden="1">
      <c r="M58" s="33" t="s">
        <v>82</v>
      </c>
      <c r="N58" s="34">
        <v>5</v>
      </c>
      <c r="O58" s="35">
        <v>26.91</v>
      </c>
      <c r="P58" s="36">
        <v>0</v>
      </c>
      <c r="Q58" s="36">
        <v>-13.455</v>
      </c>
      <c r="R58" s="36">
        <v>13.455</v>
      </c>
      <c r="S58" s="37"/>
      <c r="T58" s="38" t="s">
        <v>29</v>
      </c>
      <c r="U58" s="23">
        <f t="shared" si="1"/>
        <v>42917</v>
      </c>
      <c r="V58" s="39" t="str">
        <f t="shared" si="0"/>
        <v/>
      </c>
    </row>
    <row r="59" spans="13:22" hidden="1">
      <c r="M59" s="33" t="s">
        <v>83</v>
      </c>
      <c r="N59" s="34">
        <v>10</v>
      </c>
      <c r="O59" s="35">
        <v>65.78</v>
      </c>
      <c r="P59" s="36">
        <v>0</v>
      </c>
      <c r="Q59" s="36">
        <v>-32.89</v>
      </c>
      <c r="R59" s="36">
        <v>32.89</v>
      </c>
      <c r="S59" s="37"/>
      <c r="T59" s="38" t="s">
        <v>29</v>
      </c>
      <c r="U59" s="23">
        <f t="shared" si="1"/>
        <v>42917</v>
      </c>
      <c r="V59" s="39" t="str">
        <f t="shared" si="0"/>
        <v/>
      </c>
    </row>
    <row r="60" spans="13:22" hidden="1">
      <c r="M60" s="33">
        <v>4186868686</v>
      </c>
      <c r="N60" s="34">
        <v>31</v>
      </c>
      <c r="O60" s="35">
        <f>322.92-[1]animatrices_stats!X21</f>
        <v>322.92</v>
      </c>
      <c r="P60" s="36">
        <v>0</v>
      </c>
      <c r="Q60" s="36">
        <v>-161.46000000000004</v>
      </c>
      <c r="R60" s="36">
        <f>O60+P60+Q60</f>
        <v>161.45999999999998</v>
      </c>
      <c r="S60" s="37">
        <v>0</v>
      </c>
      <c r="T60" s="38" t="s">
        <v>33</v>
      </c>
      <c r="U60" s="23">
        <f t="shared" si="1"/>
        <v>42917</v>
      </c>
      <c r="V60" s="39" t="str">
        <f t="shared" si="0"/>
        <v/>
      </c>
    </row>
    <row r="61" spans="13:22" hidden="1">
      <c r="M61" s="33">
        <v>9007895410</v>
      </c>
      <c r="N61" s="34">
        <v>78</v>
      </c>
      <c r="O61" s="35">
        <f>622.88-[1]animatrices_stats!X22</f>
        <v>622.88</v>
      </c>
      <c r="P61" s="36">
        <v>0</v>
      </c>
      <c r="Q61" s="36">
        <v>-346.6400000000001</v>
      </c>
      <c r="R61" s="36">
        <f>O61+P61+Q61</f>
        <v>276.2399999999999</v>
      </c>
      <c r="S61" s="37">
        <v>0</v>
      </c>
      <c r="T61" s="38" t="s">
        <v>33</v>
      </c>
      <c r="U61" s="23">
        <f t="shared" si="1"/>
        <v>42917</v>
      </c>
      <c r="V61" s="39" t="str">
        <f t="shared" si="0"/>
        <v/>
      </c>
    </row>
    <row r="62" spans="13:22" hidden="1">
      <c r="M62" s="33" t="s">
        <v>84</v>
      </c>
      <c r="N62" s="34">
        <v>4</v>
      </c>
      <c r="O62" s="35">
        <v>20.93</v>
      </c>
      <c r="P62" s="36">
        <v>0</v>
      </c>
      <c r="Q62" s="36">
        <v>-10.465</v>
      </c>
      <c r="R62" s="36">
        <v>10.465</v>
      </c>
      <c r="S62" s="37"/>
      <c r="T62" s="38" t="s">
        <v>33</v>
      </c>
      <c r="U62" s="23">
        <f t="shared" si="1"/>
        <v>42917</v>
      </c>
      <c r="V62" s="39" t="str">
        <f t="shared" si="0"/>
        <v/>
      </c>
    </row>
    <row r="63" spans="13:22" hidden="1">
      <c r="M63" s="33" t="s">
        <v>85</v>
      </c>
      <c r="N63" s="34">
        <v>4</v>
      </c>
      <c r="O63" s="35">
        <v>29.9</v>
      </c>
      <c r="P63" s="36">
        <v>0</v>
      </c>
      <c r="Q63" s="36">
        <v>-14.95</v>
      </c>
      <c r="R63" s="36">
        <v>14.95</v>
      </c>
      <c r="S63" s="37"/>
      <c r="T63" s="38" t="s">
        <v>33</v>
      </c>
      <c r="U63" s="23">
        <f t="shared" si="1"/>
        <v>42917</v>
      </c>
      <c r="V63" s="39" t="str">
        <f t="shared" si="0"/>
        <v/>
      </c>
    </row>
    <row r="64" spans="13:22" hidden="1">
      <c r="M64" s="33" t="s">
        <v>86</v>
      </c>
      <c r="N64" s="34">
        <v>5</v>
      </c>
      <c r="O64" s="35">
        <v>50.830000000000013</v>
      </c>
      <c r="P64" s="36">
        <v>0</v>
      </c>
      <c r="Q64" s="36">
        <v>-25.415000000000006</v>
      </c>
      <c r="R64" s="36">
        <v>25.415000000000006</v>
      </c>
      <c r="S64" s="37"/>
      <c r="T64" s="38" t="s">
        <v>33</v>
      </c>
      <c r="U64" s="23">
        <f t="shared" si="1"/>
        <v>42917</v>
      </c>
      <c r="V64" s="39" t="str">
        <f t="shared" si="0"/>
        <v/>
      </c>
    </row>
    <row r="65" spans="13:22" hidden="1">
      <c r="M65" s="33">
        <v>4505155858</v>
      </c>
      <c r="N65" s="34">
        <v>10</v>
      </c>
      <c r="O65" s="35">
        <v>50.830000000000013</v>
      </c>
      <c r="P65" s="36">
        <v>0</v>
      </c>
      <c r="Q65" s="36">
        <v>-25.415000000000006</v>
      </c>
      <c r="R65" s="36">
        <v>25.415000000000006</v>
      </c>
      <c r="S65" s="37">
        <v>0</v>
      </c>
      <c r="T65" s="38" t="s">
        <v>37</v>
      </c>
      <c r="U65" s="23">
        <f t="shared" si="1"/>
        <v>42917</v>
      </c>
      <c r="V65" s="39" t="str">
        <f t="shared" si="0"/>
        <v/>
      </c>
    </row>
    <row r="66" spans="13:22" hidden="1">
      <c r="M66" s="33">
        <v>9007896633</v>
      </c>
      <c r="N66" s="34">
        <v>45</v>
      </c>
      <c r="O66" s="35">
        <v>392.03999999999991</v>
      </c>
      <c r="P66" s="36">
        <v>0</v>
      </c>
      <c r="Q66" s="36">
        <v>-196.71999999999994</v>
      </c>
      <c r="R66" s="36">
        <v>195.31999999999996</v>
      </c>
      <c r="S66" s="37">
        <v>0</v>
      </c>
      <c r="T66" s="38" t="s">
        <v>37</v>
      </c>
      <c r="U66" s="23">
        <f t="shared" si="1"/>
        <v>42917</v>
      </c>
      <c r="V66" s="39" t="str">
        <f t="shared" si="0"/>
        <v/>
      </c>
    </row>
    <row r="67" spans="13:22" hidden="1">
      <c r="M67" s="33" t="s">
        <v>87</v>
      </c>
      <c r="N67" s="34">
        <v>4</v>
      </c>
      <c r="O67" s="35">
        <v>47.839999999999996</v>
      </c>
      <c r="P67" s="36">
        <v>0</v>
      </c>
      <c r="Q67" s="36">
        <v>-23.919999999999998</v>
      </c>
      <c r="R67" s="36">
        <v>23.919999999999998</v>
      </c>
      <c r="S67" s="37"/>
      <c r="T67" s="38" t="s">
        <v>37</v>
      </c>
      <c r="U67" s="23">
        <f t="shared" si="1"/>
        <v>42917</v>
      </c>
      <c r="V67" s="39" t="str">
        <f t="shared" si="0"/>
        <v/>
      </c>
    </row>
    <row r="68" spans="13:22" hidden="1">
      <c r="M68" s="33" t="s">
        <v>88</v>
      </c>
      <c r="N68" s="34">
        <v>5</v>
      </c>
      <c r="O68" s="35">
        <v>23.92</v>
      </c>
      <c r="P68" s="36">
        <v>0</v>
      </c>
      <c r="Q68" s="36">
        <v>-11.96</v>
      </c>
      <c r="R68" s="36">
        <v>11.96</v>
      </c>
      <c r="S68" s="37"/>
      <c r="T68" s="38" t="s">
        <v>37</v>
      </c>
      <c r="U68" s="23">
        <f t="shared" si="1"/>
        <v>42917</v>
      </c>
      <c r="V68" s="39" t="str">
        <f t="shared" si="0"/>
        <v/>
      </c>
    </row>
    <row r="69" spans="13:22" hidden="1">
      <c r="M69" s="33" t="s">
        <v>89</v>
      </c>
      <c r="N69" s="34">
        <v>2</v>
      </c>
      <c r="O69" s="35">
        <v>14.950000000000001</v>
      </c>
      <c r="P69" s="36">
        <v>0</v>
      </c>
      <c r="Q69" s="36">
        <v>-7.4750000000000005</v>
      </c>
      <c r="R69" s="36">
        <v>7.4750000000000005</v>
      </c>
      <c r="S69" s="37"/>
      <c r="T69" s="38" t="s">
        <v>37</v>
      </c>
      <c r="U69" s="23">
        <f t="shared" si="1"/>
        <v>42917</v>
      </c>
      <c r="V69" s="39" t="str">
        <f t="shared" si="0"/>
        <v/>
      </c>
    </row>
    <row r="70" spans="13:22" hidden="1">
      <c r="M70" s="34"/>
      <c r="N70" s="34"/>
      <c r="O70" s="36"/>
      <c r="P70" s="36"/>
      <c r="Q70" s="36"/>
      <c r="R70" s="36"/>
      <c r="S70" s="40"/>
      <c r="T70" s="41"/>
      <c r="U70" s="23">
        <f t="shared" si="1"/>
        <v>42917</v>
      </c>
      <c r="V70" s="39"/>
    </row>
    <row r="71" spans="13:22" hidden="1">
      <c r="M71" s="34"/>
      <c r="N71" s="34"/>
      <c r="O71" s="36"/>
      <c r="P71" s="36"/>
      <c r="Q71" s="36"/>
      <c r="R71" s="36"/>
      <c r="S71" s="40"/>
      <c r="T71" s="41"/>
      <c r="U71" s="23">
        <f t="shared" si="1"/>
        <v>42917</v>
      </c>
      <c r="V71" s="39"/>
    </row>
    <row r="72" spans="13:22" hidden="1">
      <c r="M72" s="34"/>
      <c r="N72" s="34"/>
      <c r="O72" s="36"/>
      <c r="P72" s="36"/>
      <c r="Q72" s="36"/>
      <c r="R72" s="36"/>
      <c r="S72" s="40"/>
      <c r="T72" s="41"/>
      <c r="U72" s="23">
        <f t="shared" si="1"/>
        <v>42917</v>
      </c>
      <c r="V72" s="39"/>
    </row>
    <row r="73" spans="13:22" hidden="1">
      <c r="M73" s="34"/>
      <c r="N73" s="34"/>
      <c r="O73" s="36"/>
      <c r="P73" s="36"/>
      <c r="Q73" s="36"/>
      <c r="R73" s="36"/>
      <c r="S73" s="40"/>
      <c r="T73" s="41"/>
      <c r="U73" s="23">
        <f t="shared" si="1"/>
        <v>42917</v>
      </c>
      <c r="V73" s="39" t="str">
        <f t="shared" si="0"/>
        <v/>
      </c>
    </row>
    <row r="74" spans="13:22" hidden="1">
      <c r="M74" s="34"/>
      <c r="N74" s="34"/>
      <c r="O74" s="36"/>
      <c r="P74" s="36"/>
      <c r="Q74" s="36"/>
      <c r="R74" s="36"/>
      <c r="S74" s="40"/>
      <c r="T74" s="41"/>
      <c r="U74" s="23">
        <f t="shared" si="1"/>
        <v>42917</v>
      </c>
      <c r="V74" s="39" t="str">
        <f t="shared" si="0"/>
        <v/>
      </c>
    </row>
    <row r="75" spans="13:22" hidden="1">
      <c r="M75" s="34"/>
      <c r="N75" s="34"/>
      <c r="O75" s="36"/>
      <c r="P75" s="36"/>
      <c r="Q75" s="36"/>
      <c r="R75" s="36"/>
      <c r="S75" s="40"/>
      <c r="T75" s="41"/>
      <c r="U75" s="23">
        <f t="shared" si="1"/>
        <v>42917</v>
      </c>
      <c r="V75" s="39" t="str">
        <f t="shared" si="0"/>
        <v/>
      </c>
    </row>
    <row r="76" spans="13:22" hidden="1">
      <c r="M76" s="34"/>
      <c r="N76" s="34"/>
      <c r="O76" s="36"/>
      <c r="P76" s="36"/>
      <c r="Q76" s="36"/>
      <c r="R76" s="36"/>
      <c r="S76" s="40"/>
      <c r="T76" s="41"/>
      <c r="U76" s="23">
        <f t="shared" si="1"/>
        <v>42917</v>
      </c>
      <c r="V76" s="39" t="str">
        <f t="shared" si="0"/>
        <v/>
      </c>
    </row>
    <row r="77" spans="13:22" hidden="1">
      <c r="M77" s="34"/>
      <c r="N77" s="34"/>
      <c r="O77" s="36"/>
      <c r="P77" s="36"/>
      <c r="Q77" s="36"/>
      <c r="R77" s="36"/>
      <c r="S77" s="40"/>
      <c r="T77" s="41"/>
      <c r="U77" s="23">
        <f t="shared" si="1"/>
        <v>42917</v>
      </c>
      <c r="V77" s="39" t="str">
        <f t="shared" si="0"/>
        <v/>
      </c>
    </row>
    <row r="78" spans="13:22" hidden="1">
      <c r="M78" s="34"/>
      <c r="N78" s="34"/>
      <c r="O78" s="36"/>
      <c r="P78" s="36"/>
      <c r="Q78" s="36"/>
      <c r="R78" s="36"/>
      <c r="U78" s="23">
        <f t="shared" si="1"/>
        <v>42917</v>
      </c>
      <c r="V78" s="39" t="str">
        <f t="shared" si="0"/>
        <v/>
      </c>
    </row>
    <row r="79" spans="13:22" hidden="1">
      <c r="M79" s="34"/>
      <c r="N79" s="43"/>
      <c r="O79" s="35"/>
      <c r="P79" s="34"/>
      <c r="Q79" s="34"/>
      <c r="R79" s="35"/>
      <c r="T79"/>
      <c r="U79" s="23"/>
      <c r="V79" s="39"/>
    </row>
    <row r="80" spans="13:22" ht="18.75">
      <c r="M80" s="44" t="s">
        <v>90</v>
      </c>
      <c r="N80" s="45">
        <f>SUMIF($T$19:$T$78,$M$10,N19:N78)</f>
        <v>567</v>
      </c>
      <c r="O80" s="46">
        <f>SUMIF($T$19:$T$78,$M$10,O19:O78)</f>
        <v>2296.4250000000002</v>
      </c>
      <c r="P80" s="46">
        <f>SUMIF($T$19:$T$78,$M$10,P19:P78)</f>
        <v>-23.7</v>
      </c>
      <c r="Q80" s="46">
        <f>SUMIF($T$19:$T$78,$M$10,Q19:Q78)</f>
        <v>-1183.6125</v>
      </c>
      <c r="R80" s="46">
        <f>SUMIF($T$19:$T$78,$M$10,R19:R78)</f>
        <v>1089.1125000000002</v>
      </c>
      <c r="S80" s="47"/>
      <c r="V80" s="39" t="s">
        <v>53</v>
      </c>
    </row>
    <row r="81" spans="13:22" ht="18.75">
      <c r="M81" s="48"/>
      <c r="N81" s="49"/>
      <c r="O81" s="49"/>
      <c r="P81" s="49"/>
      <c r="Q81" s="49"/>
      <c r="R81" s="49"/>
      <c r="S81" s="49"/>
      <c r="V81" s="39" t="s">
        <v>53</v>
      </c>
    </row>
    <row r="82" spans="13:22">
      <c r="M82" s="4" t="s">
        <v>91</v>
      </c>
      <c r="N82" s="27">
        <f>N16</f>
        <v>42917</v>
      </c>
      <c r="O82" s="3"/>
      <c r="P82" s="3"/>
      <c r="Q82" s="3"/>
      <c r="R82" s="3"/>
      <c r="S82" s="3"/>
      <c r="V82" s="39" t="s">
        <v>53</v>
      </c>
    </row>
    <row r="83" spans="13:22">
      <c r="M83" s="50" t="str">
        <f>CONCATENATE("C:\olivier\compatbilité\Documents pour réal\New files\Éléments olivier du mois ",YEAR(N82),IF(MONTH(N82)&lt;10,CONCATENATE("0",MONTH(N82)),MONTH(N82)),"01.xlsx")</f>
        <v>C:\olivier\compatbilité\Documents pour réal\New files\Éléments olivier du mois 20170701.xlsx</v>
      </c>
      <c r="N83" s="51"/>
      <c r="O83" s="3"/>
      <c r="P83" s="3"/>
      <c r="Q83" s="3"/>
      <c r="R83" s="50" t="str">
        <f>CONCATENATE("Éléments olivier du mois ",YEAR(N82),IF(MONTH(N82)&lt;10,CONCATENATE("0",MONTH(N82)),MONTH(N82)),"01.xlsx")</f>
        <v>Éléments olivier du mois 20170701.xlsx</v>
      </c>
      <c r="S83" s="50"/>
      <c r="V83" s="39" t="s">
        <v>53</v>
      </c>
    </row>
    <row r="84" spans="13:22" ht="15.75">
      <c r="M84" s="52" t="s">
        <v>92</v>
      </c>
      <c r="N84" s="53"/>
      <c r="O84" s="54" t="s">
        <v>93</v>
      </c>
      <c r="P84" s="55" t="s">
        <v>94</v>
      </c>
      <c r="Q84" s="55" t="s">
        <v>95</v>
      </c>
      <c r="R84" s="55" t="s">
        <v>96</v>
      </c>
      <c r="T84" s="56" t="s">
        <v>97</v>
      </c>
      <c r="U84" s="57"/>
      <c r="V84" s="39" t="s">
        <v>53</v>
      </c>
    </row>
    <row r="85" spans="13:22" ht="18.75" hidden="1">
      <c r="M85" s="33" t="str">
        <f>'[2]bloc temps'!B2</f>
        <v>Bloc Temps 900_juillet 17</v>
      </c>
      <c r="N85" s="34"/>
      <c r="O85" s="35">
        <f>'[2]bloc temps'!C2</f>
        <v>0</v>
      </c>
      <c r="P85" s="36">
        <f>'[2]bloc temps'!D2</f>
        <v>0</v>
      </c>
      <c r="Q85" s="36">
        <f>'[2]bloc temps'!E2</f>
        <v>0</v>
      </c>
      <c r="R85" s="36">
        <f>'[2]bloc temps'!F2</f>
        <v>0</v>
      </c>
      <c r="S85" s="49"/>
      <c r="T85" s="58" t="str">
        <f>'[2]bloc temps'!J2</f>
        <v>JOURNAL RIVE-NORD MEDIAS</v>
      </c>
      <c r="U85" s="23">
        <f t="shared" ref="U85:U120" si="2">$U$19</f>
        <v>42917</v>
      </c>
      <c r="V85" s="39" t="str">
        <f t="shared" ref="V85:V119" si="3">IF(T85=$M$10,"x","")</f>
        <v/>
      </c>
    </row>
    <row r="86" spans="13:22" hidden="1">
      <c r="M86" s="33" t="str">
        <f>'[2]bloc temps'!B3</f>
        <v>Bloc Temps 900_juillet 17</v>
      </c>
      <c r="N86" s="34"/>
      <c r="O86" s="35">
        <f>'[2]bloc temps'!C3</f>
        <v>0</v>
      </c>
      <c r="P86" s="36">
        <f>'[2]bloc temps'!D3</f>
        <v>0</v>
      </c>
      <c r="Q86" s="36">
        <f>'[2]bloc temps'!E3</f>
        <v>0</v>
      </c>
      <c r="R86" s="36">
        <f>'[2]bloc temps'!F3</f>
        <v>0</v>
      </c>
      <c r="T86" s="58" t="str">
        <f>'[2]bloc temps'!J3</f>
        <v>L'ECHO DU NORD</v>
      </c>
      <c r="U86" s="23">
        <f t="shared" si="2"/>
        <v>42917</v>
      </c>
      <c r="V86" s="39" t="str">
        <f t="shared" si="3"/>
        <v/>
      </c>
    </row>
    <row r="87" spans="13:22" hidden="1">
      <c r="M87" s="33" t="str">
        <f>'[2]bloc temps'!B4</f>
        <v>Bloc Temps 900_juillet 17</v>
      </c>
      <c r="N87" s="34"/>
      <c r="O87" s="35">
        <f>'[2]bloc temps'!C4</f>
        <v>0</v>
      </c>
      <c r="P87" s="36">
        <f>'[2]bloc temps'!D4</f>
        <v>0</v>
      </c>
      <c r="Q87" s="36">
        <f>'[2]bloc temps'!E4</f>
        <v>0</v>
      </c>
      <c r="R87" s="36">
        <f>'[2]bloc temps'!F4</f>
        <v>0</v>
      </c>
      <c r="S87" s="37"/>
      <c r="T87" s="58" t="str">
        <f>'[2]bloc temps'!J4</f>
        <v>JOURNAUX EDITIONS BELCOR REGION GASPESIE</v>
      </c>
      <c r="U87" s="23">
        <f t="shared" si="2"/>
        <v>42917</v>
      </c>
      <c r="V87" s="39" t="str">
        <f t="shared" si="3"/>
        <v/>
      </c>
    </row>
    <row r="88" spans="13:22" hidden="1">
      <c r="M88" s="33" t="str">
        <f>'[2]bloc temps'!B5</f>
        <v>Bloc Temps 900_juillet 17</v>
      </c>
      <c r="N88" s="34"/>
      <c r="O88" s="35">
        <f>'[2]bloc temps'!C5</f>
        <v>0</v>
      </c>
      <c r="P88" s="36">
        <f>'[2]bloc temps'!D5</f>
        <v>0</v>
      </c>
      <c r="Q88" s="36">
        <f>'[2]bloc temps'!E5</f>
        <v>0</v>
      </c>
      <c r="R88" s="36">
        <f>'[2]bloc temps'!F5</f>
        <v>0</v>
      </c>
      <c r="S88" s="37"/>
      <c r="T88" s="58" t="str">
        <f>'[2]bloc temps'!J5</f>
        <v>Hebdo régional de la Beauce</v>
      </c>
      <c r="U88" s="23">
        <f t="shared" si="2"/>
        <v>42917</v>
      </c>
      <c r="V88" s="39" t="str">
        <f t="shared" si="3"/>
        <v/>
      </c>
    </row>
    <row r="89" spans="13:22" hidden="1">
      <c r="M89" s="33" t="str">
        <f>'[2]bloc temps'!B6</f>
        <v>Bloc Temps 900_juillet 17</v>
      </c>
      <c r="N89" s="34"/>
      <c r="O89" s="35">
        <f>'[2]bloc temps'!C6</f>
        <v>0</v>
      </c>
      <c r="P89" s="36">
        <f>'[2]bloc temps'!D6</f>
        <v>0</v>
      </c>
      <c r="Q89" s="36">
        <f>'[2]bloc temps'!E6</f>
        <v>0</v>
      </c>
      <c r="R89" s="36">
        <f>'[2]bloc temps'!F6</f>
        <v>0</v>
      </c>
      <c r="T89" s="58" t="str">
        <f>'[2]bloc temps'!J6</f>
        <v>JOURNAL INFORMATION DU NORD</v>
      </c>
      <c r="U89" s="23">
        <f t="shared" si="2"/>
        <v>42917</v>
      </c>
      <c r="V89" s="39" t="str">
        <f t="shared" si="3"/>
        <v/>
      </c>
    </row>
    <row r="90" spans="13:22" hidden="1">
      <c r="M90" s="33" t="str">
        <f>'[2]bloc temps'!B7</f>
        <v>Bloc Temps 900_juillet 17</v>
      </c>
      <c r="N90" s="34"/>
      <c r="O90" s="35">
        <f>'[2]bloc temps'!C7</f>
        <v>0</v>
      </c>
      <c r="P90" s="36">
        <f>'[2]bloc temps'!D7</f>
        <v>0</v>
      </c>
      <c r="Q90" s="36">
        <f>'[2]bloc temps'!E7</f>
        <v>0</v>
      </c>
      <c r="R90" s="36">
        <f>'[2]bloc temps'!F7</f>
        <v>0</v>
      </c>
      <c r="S90" s="59"/>
      <c r="T90" s="58" t="str">
        <f>'[2]bloc temps'!J7</f>
        <v>Journal Le Droit</v>
      </c>
      <c r="U90" s="23">
        <f t="shared" si="2"/>
        <v>42917</v>
      </c>
      <c r="V90" s="39" t="str">
        <f t="shared" si="3"/>
        <v/>
      </c>
    </row>
    <row r="91" spans="13:22" hidden="1">
      <c r="M91" s="33" t="str">
        <f>'[2]bloc temps'!B8</f>
        <v>Bloc Temps 900_juillet 17</v>
      </c>
      <c r="N91" s="34"/>
      <c r="O91" s="35">
        <f>'[2]bloc temps'!C8</f>
        <v>0</v>
      </c>
      <c r="P91" s="36">
        <f>'[2]bloc temps'!D8</f>
        <v>0</v>
      </c>
      <c r="Q91" s="36">
        <f>'[2]bloc temps'!E8</f>
        <v>0</v>
      </c>
      <c r="R91" s="36">
        <f>'[2]bloc temps'!F8</f>
        <v>0</v>
      </c>
      <c r="T91" s="58" t="str">
        <f>'[2]bloc temps'!J8</f>
        <v>La Press Ltée</v>
      </c>
      <c r="U91" s="23">
        <f t="shared" si="2"/>
        <v>42917</v>
      </c>
      <c r="V91" s="39" t="str">
        <f t="shared" si="3"/>
        <v/>
      </c>
    </row>
    <row r="92" spans="13:22" ht="18.75" hidden="1">
      <c r="M92" s="33" t="str">
        <f>'[2]bloc temps'!B9</f>
        <v>Bloc Temps 900_juillet 17</v>
      </c>
      <c r="N92" s="34"/>
      <c r="O92" s="35">
        <f>'[2]bloc temps'!C9</f>
        <v>0</v>
      </c>
      <c r="P92" s="36">
        <f>'[2]bloc temps'!D9</f>
        <v>0</v>
      </c>
      <c r="Q92" s="36">
        <f>'[2]bloc temps'!E9</f>
        <v>0</v>
      </c>
      <c r="R92" s="36">
        <f>'[2]bloc temps'!F9</f>
        <v>0</v>
      </c>
      <c r="S92" s="60"/>
      <c r="T92" s="58" t="str">
        <f>'[2]bloc temps'!J9</f>
        <v>Le Courrier de St-Hyacinthe</v>
      </c>
      <c r="U92" s="23">
        <f t="shared" si="2"/>
        <v>42917</v>
      </c>
      <c r="V92" s="39" t="str">
        <f t="shared" si="3"/>
        <v/>
      </c>
    </row>
    <row r="93" spans="13:22">
      <c r="M93" s="33" t="str">
        <f>'[2]bloc temps'!B10</f>
        <v>Bloc Temps 900_juillet 17</v>
      </c>
      <c r="N93" s="34"/>
      <c r="O93" s="35">
        <f>'[2]bloc temps'!C10</f>
        <v>3</v>
      </c>
      <c r="P93" s="36">
        <f>'[2]bloc temps'!D10</f>
        <v>65.400000000000006</v>
      </c>
      <c r="Q93" s="36">
        <f>'[2]bloc temps'!E10</f>
        <v>-1.6350000000000002</v>
      </c>
      <c r="R93" s="36">
        <f>'[2]bloc temps'!F10</f>
        <v>63.765000000000001</v>
      </c>
      <c r="T93" s="58" t="str">
        <f>'[2]bloc temps'!J10</f>
        <v>JOURNAL LE NOUVELLISTE (1982) LTEE</v>
      </c>
      <c r="U93" s="23">
        <f t="shared" si="2"/>
        <v>42917</v>
      </c>
      <c r="V93" s="39" t="str">
        <f t="shared" si="3"/>
        <v>x</v>
      </c>
    </row>
    <row r="94" spans="13:22" hidden="1">
      <c r="M94" s="33" t="str">
        <f>'[2]bloc temps'!B11</f>
        <v>Bloc Temps 900_juillet 17</v>
      </c>
      <c r="N94" s="34"/>
      <c r="O94" s="35">
        <f>'[2]bloc temps'!C11</f>
        <v>0</v>
      </c>
      <c r="P94" s="36">
        <f>'[2]bloc temps'!D11</f>
        <v>0</v>
      </c>
      <c r="Q94" s="36">
        <f>'[2]bloc temps'!E11</f>
        <v>0</v>
      </c>
      <c r="R94" s="36">
        <f>'[2]bloc temps'!F11</f>
        <v>0</v>
      </c>
      <c r="T94" s="58" t="str">
        <f>'[2]bloc temps'!J11</f>
        <v>JOURNAL LE QUOTIDIEN (PROGRES-DIMANCHE)</v>
      </c>
      <c r="U94" s="23">
        <f t="shared" si="2"/>
        <v>42917</v>
      </c>
      <c r="V94" s="39" t="str">
        <f t="shared" si="3"/>
        <v/>
      </c>
    </row>
    <row r="95" spans="13:22" hidden="1">
      <c r="M95" s="33" t="str">
        <f>'[2]bloc temps'!B12</f>
        <v>Bloc Temps 900_juillet 17</v>
      </c>
      <c r="N95" s="34"/>
      <c r="O95" s="35">
        <f>'[2]bloc temps'!C12</f>
        <v>0</v>
      </c>
      <c r="P95" s="36">
        <f>'[2]bloc temps'!D12</f>
        <v>0</v>
      </c>
      <c r="Q95" s="36">
        <f>'[2]bloc temps'!E12</f>
        <v>0</v>
      </c>
      <c r="R95" s="36">
        <f>'[2]bloc temps'!F12</f>
        <v>0</v>
      </c>
      <c r="T95" s="58" t="str">
        <f>'[2]bloc temps'!J12</f>
        <v>JOURNAL LE REVEIL</v>
      </c>
      <c r="U95" s="23">
        <f t="shared" si="2"/>
        <v>42917</v>
      </c>
      <c r="V95" s="39" t="str">
        <f t="shared" si="3"/>
        <v/>
      </c>
    </row>
    <row r="96" spans="13:22" hidden="1">
      <c r="M96" s="33" t="str">
        <f>'[2]bloc temps'!B13</f>
        <v>Bloc Temps 900_juillet 17</v>
      </c>
      <c r="N96" s="34"/>
      <c r="O96" s="35">
        <f>'[2]bloc temps'!C13</f>
        <v>1</v>
      </c>
      <c r="P96" s="36">
        <f>'[2]bloc temps'!D13</f>
        <v>21.8</v>
      </c>
      <c r="Q96" s="36">
        <f>'[2]bloc temps'!E13</f>
        <v>-0.54500000000000004</v>
      </c>
      <c r="R96" s="36">
        <f>'[2]bloc temps'!F13</f>
        <v>21.254999999999999</v>
      </c>
      <c r="T96" s="58" t="str">
        <f>'[2]bloc temps'!J13</f>
        <v>JOURNAL LE SOLEIL</v>
      </c>
      <c r="U96" s="23">
        <f t="shared" si="2"/>
        <v>42917</v>
      </c>
      <c r="V96" s="39" t="str">
        <f t="shared" si="3"/>
        <v/>
      </c>
    </row>
    <row r="97" spans="13:22" hidden="1">
      <c r="M97" s="33" t="str">
        <f>'[2]bloc temps'!B14</f>
        <v>Bloc Temps 900_juillet 17</v>
      </c>
      <c r="N97" s="34"/>
      <c r="O97" s="35">
        <f>'[2]bloc temps'!C14</f>
        <v>0</v>
      </c>
      <c r="P97" s="36">
        <f>'[2]bloc temps'!D14</f>
        <v>0</v>
      </c>
      <c r="Q97" s="36">
        <f>'[2]bloc temps'!E14</f>
        <v>0</v>
      </c>
      <c r="R97" s="36">
        <f>'[2]bloc temps'!F14</f>
        <v>0</v>
      </c>
      <c r="T97" s="58" t="str">
        <f>'[2]bloc temps'!J14</f>
        <v>JOURNAL ST-LAURENT PORTAGE</v>
      </c>
      <c r="U97" s="23">
        <f t="shared" si="2"/>
        <v>42917</v>
      </c>
      <c r="V97" s="39" t="str">
        <f t="shared" si="3"/>
        <v/>
      </c>
    </row>
    <row r="98" spans="13:22" hidden="1">
      <c r="M98" s="33" t="str">
        <f>'[2]bloc temps'!B15</f>
        <v>Bloc Temps 900_juillet 17</v>
      </c>
      <c r="N98" s="34"/>
      <c r="O98" s="35">
        <f>'[2]bloc temps'!C15</f>
        <v>6</v>
      </c>
      <c r="P98" s="36">
        <f>'[2]bloc temps'!D15</f>
        <v>130.80000000000001</v>
      </c>
      <c r="Q98" s="36">
        <f>'[2]bloc temps'!E15</f>
        <v>-3.2700000000000005</v>
      </c>
      <c r="R98" s="36">
        <f>'[2]bloc temps'!F15</f>
        <v>127.53</v>
      </c>
      <c r="T98" s="58" t="str">
        <f>'[2]bloc temps'!J15</f>
        <v>CITOYEN DE LA VALLEE DE L'OR</v>
      </c>
      <c r="U98" s="23">
        <f t="shared" si="2"/>
        <v>42917</v>
      </c>
      <c r="V98" s="39" t="str">
        <f t="shared" si="3"/>
        <v/>
      </c>
    </row>
    <row r="99" spans="13:22" hidden="1">
      <c r="M99" s="33" t="str">
        <f>'[2]bloc temps'!B16</f>
        <v>Bloc Temps 900_juillet 17</v>
      </c>
      <c r="N99" s="34"/>
      <c r="O99" s="35">
        <f>'[2]bloc temps'!C16</f>
        <v>0</v>
      </c>
      <c r="P99" s="36">
        <f>'[2]bloc temps'!D16</f>
        <v>0</v>
      </c>
      <c r="Q99" s="36">
        <f>'[2]bloc temps'!E16</f>
        <v>0</v>
      </c>
      <c r="R99" s="36">
        <f>'[2]bloc temps'!F16</f>
        <v>0</v>
      </c>
      <c r="T99" s="58" t="str">
        <f>'[2]bloc temps'!J16</f>
        <v>JOURNAL PAYS D'EN HAUT</v>
      </c>
      <c r="U99" s="23">
        <f t="shared" si="2"/>
        <v>42917</v>
      </c>
      <c r="V99" s="39" t="str">
        <f t="shared" si="3"/>
        <v/>
      </c>
    </row>
    <row r="100" spans="13:22" hidden="1">
      <c r="M100" s="33" t="str">
        <f>'[2]bloc temps'!B17</f>
        <v>Bloc Temps 900_juillet 17</v>
      </c>
      <c r="N100" s="34"/>
      <c r="O100" s="35">
        <f>'[2]bloc temps'!C17</f>
        <v>0</v>
      </c>
      <c r="P100" s="36">
        <f>'[2]bloc temps'!D17</f>
        <v>0</v>
      </c>
      <c r="Q100" s="36">
        <f>'[2]bloc temps'!E17</f>
        <v>0</v>
      </c>
      <c r="R100" s="36">
        <f>'[2]bloc temps'!F17</f>
        <v>0</v>
      </c>
      <c r="T100" s="58" t="str">
        <f>'[2]bloc temps'!J17</f>
        <v>LE PEUPLE DE LEVIS</v>
      </c>
      <c r="U100" s="23">
        <f t="shared" si="2"/>
        <v>42917</v>
      </c>
      <c r="V100" s="39" t="str">
        <f t="shared" si="3"/>
        <v/>
      </c>
    </row>
    <row r="101" spans="13:22" hidden="1">
      <c r="M101" s="33" t="str">
        <f>'[2]bloc temps'!B18</f>
        <v>Bloc Temps 900_juillet 17</v>
      </c>
      <c r="N101" s="34"/>
      <c r="O101" s="35">
        <f>'[2]bloc temps'!C18</f>
        <v>1</v>
      </c>
      <c r="P101" s="36">
        <f>'[2]bloc temps'!D18</f>
        <v>21.8</v>
      </c>
      <c r="Q101" s="36">
        <f>'[2]bloc temps'!E18</f>
        <v>-0.54500000000000004</v>
      </c>
      <c r="R101" s="36">
        <f>'[2]bloc temps'!F18</f>
        <v>21.254999999999999</v>
      </c>
      <c r="T101" s="58" t="str">
        <f>'[2]bloc temps'!J18</f>
        <v>Promotion G&amp;P (Match Phone)</v>
      </c>
      <c r="U101" s="23">
        <f t="shared" si="2"/>
        <v>42917</v>
      </c>
      <c r="V101" s="39" t="str">
        <f>IF(T101=$M$10,"x","")</f>
        <v/>
      </c>
    </row>
    <row r="102" spans="13:22" hidden="1">
      <c r="M102" s="33" t="str">
        <f>'[2]bloc temps'!B19</f>
        <v>Bloc Temps 900_juillet 17</v>
      </c>
      <c r="N102" s="34"/>
      <c r="O102" s="35">
        <f>'[2]bloc temps'!C19</f>
        <v>2</v>
      </c>
      <c r="P102" s="36">
        <f>'[2]bloc temps'!D19</f>
        <v>43.6</v>
      </c>
      <c r="Q102" s="36">
        <f>'[2]bloc temps'!E19</f>
        <v>-1.0900000000000001</v>
      </c>
      <c r="R102" s="36">
        <f>'[2]bloc temps'!F19</f>
        <v>42.51</v>
      </c>
      <c r="T102" s="58" t="str">
        <f>'[2]bloc temps'!J19</f>
        <v>JOURNAUX EDITIONS BELCOR REGION RIMOUSKI</v>
      </c>
      <c r="U102" s="23">
        <f t="shared" si="2"/>
        <v>42917</v>
      </c>
      <c r="V102" s="39" t="str">
        <f t="shared" si="3"/>
        <v/>
      </c>
    </row>
    <row r="103" spans="13:22" hidden="1">
      <c r="M103" s="33" t="str">
        <f>'[2]bloc temps'!B20</f>
        <v>Bloc Temps 900_juillet 17</v>
      </c>
      <c r="N103" s="34"/>
      <c r="O103" s="35">
        <f>'[2]bloc temps'!C20</f>
        <v>0</v>
      </c>
      <c r="P103" s="36">
        <f>'[2]bloc temps'!D20</f>
        <v>0</v>
      </c>
      <c r="Q103" s="36">
        <f>'[2]bloc temps'!E20</f>
        <v>0</v>
      </c>
      <c r="R103" s="36">
        <f>'[2]bloc temps'!F20</f>
        <v>0</v>
      </c>
      <c r="T103" s="58" t="str">
        <f>'[2]bloc temps'!J20</f>
        <v>JOURNAL LA TRIBUNE DE SHERBROOKE</v>
      </c>
      <c r="U103" s="23">
        <f t="shared" si="2"/>
        <v>42917</v>
      </c>
      <c r="V103" s="39" t="str">
        <f t="shared" si="3"/>
        <v/>
      </c>
    </row>
    <row r="104" spans="13:22" hidden="1">
      <c r="M104" s="33" t="str">
        <f>'[2]bloc temps'!B21</f>
        <v>Bloc Temps 900_juillet 17</v>
      </c>
      <c r="N104" s="34"/>
      <c r="O104" s="35">
        <f>'[2]bloc temps'!C21</f>
        <v>0</v>
      </c>
      <c r="P104" s="36">
        <f>'[2]bloc temps'!D21</f>
        <v>0</v>
      </c>
      <c r="Q104" s="36">
        <f>'[2]bloc temps'!E21</f>
        <v>0</v>
      </c>
      <c r="R104" s="36">
        <f>'[2]bloc temps'!F21</f>
        <v>0</v>
      </c>
      <c r="T104" s="58" t="str">
        <f>'[2]bloc temps'!J21</f>
        <v>JOURNAL LA VOIX DE L'EST</v>
      </c>
      <c r="U104" s="23">
        <f t="shared" si="2"/>
        <v>42917</v>
      </c>
      <c r="V104" s="39" t="str">
        <f t="shared" si="3"/>
        <v/>
      </c>
    </row>
    <row r="105" spans="13:22" hidden="1">
      <c r="M105" s="33" t="s">
        <v>98</v>
      </c>
      <c r="N105" s="34"/>
      <c r="O105" s="35">
        <v>4</v>
      </c>
      <c r="P105" s="36">
        <v>240.01739508588821</v>
      </c>
      <c r="Q105" s="36">
        <v>-7.2005218525766459</v>
      </c>
      <c r="R105" s="36">
        <v>232.81687323331155</v>
      </c>
      <c r="T105" s="33" t="s">
        <v>99</v>
      </c>
      <c r="U105" s="23">
        <f t="shared" si="2"/>
        <v>42917</v>
      </c>
      <c r="V105" s="39" t="str">
        <f t="shared" si="3"/>
        <v/>
      </c>
    </row>
    <row r="106" spans="13:22" hidden="1">
      <c r="M106" s="33" t="s">
        <v>98</v>
      </c>
      <c r="N106" s="34"/>
      <c r="O106" s="35">
        <v>3</v>
      </c>
      <c r="P106" s="36">
        <v>74.990215264187867</v>
      </c>
      <c r="Q106" s="36">
        <v>-2.2497064579256358</v>
      </c>
      <c r="R106" s="36">
        <v>72.740508806262227</v>
      </c>
      <c r="T106" s="33" t="s">
        <v>100</v>
      </c>
      <c r="U106" s="23">
        <f t="shared" si="2"/>
        <v>42917</v>
      </c>
      <c r="V106" s="39" t="str">
        <f t="shared" si="3"/>
        <v/>
      </c>
    </row>
    <row r="107" spans="13:22" hidden="1">
      <c r="M107" s="33" t="s">
        <v>98</v>
      </c>
      <c r="N107" s="34"/>
      <c r="O107" s="35">
        <v>8</v>
      </c>
      <c r="P107" s="36">
        <v>234.9815177212437</v>
      </c>
      <c r="Q107" s="36">
        <v>-7.0494455316373106</v>
      </c>
      <c r="R107" s="36">
        <v>227.93207218960637</v>
      </c>
      <c r="T107" s="33" t="s">
        <v>10</v>
      </c>
      <c r="U107" s="23">
        <f t="shared" si="2"/>
        <v>42917</v>
      </c>
      <c r="V107" s="39" t="str">
        <f t="shared" si="3"/>
        <v/>
      </c>
    </row>
    <row r="108" spans="13:22" hidden="1">
      <c r="M108" s="33" t="s">
        <v>98</v>
      </c>
      <c r="N108" s="34"/>
      <c r="O108" s="35">
        <v>11</v>
      </c>
      <c r="P108" s="36">
        <v>374.98586649271573</v>
      </c>
      <c r="Q108" s="36">
        <v>-11.24957599478147</v>
      </c>
      <c r="R108" s="36">
        <v>363.73629049793425</v>
      </c>
      <c r="T108" s="33" t="s">
        <v>17</v>
      </c>
      <c r="U108" s="23">
        <f t="shared" si="2"/>
        <v>42917</v>
      </c>
      <c r="V108" s="39" t="str">
        <f t="shared" si="3"/>
        <v/>
      </c>
    </row>
    <row r="109" spans="13:22" hidden="1">
      <c r="M109" s="33" t="s">
        <v>98</v>
      </c>
      <c r="N109" s="34"/>
      <c r="O109" s="35">
        <v>2</v>
      </c>
      <c r="P109" s="36">
        <v>85.001087192867999</v>
      </c>
      <c r="Q109" s="36">
        <v>-2.5500326157860398</v>
      </c>
      <c r="R109" s="36">
        <v>82.451054577081962</v>
      </c>
      <c r="T109" s="33" t="s">
        <v>21</v>
      </c>
      <c r="U109" s="23">
        <f t="shared" si="2"/>
        <v>42917</v>
      </c>
      <c r="V109" s="39" t="str">
        <f t="shared" si="3"/>
        <v/>
      </c>
    </row>
    <row r="110" spans="13:22">
      <c r="M110" s="33" t="s">
        <v>98</v>
      </c>
      <c r="N110" s="34"/>
      <c r="O110" s="35">
        <v>7</v>
      </c>
      <c r="P110" s="36">
        <v>365.01848227875621</v>
      </c>
      <c r="Q110" s="36">
        <v>-10.950554468362686</v>
      </c>
      <c r="R110" s="36">
        <v>354.06792781039348</v>
      </c>
      <c r="T110" s="33" t="s">
        <v>25</v>
      </c>
      <c r="U110" s="23">
        <f t="shared" si="2"/>
        <v>42917</v>
      </c>
      <c r="V110" s="39" t="str">
        <f t="shared" si="3"/>
        <v>x</v>
      </c>
    </row>
    <row r="111" spans="13:22" hidden="1">
      <c r="M111" s="33" t="s">
        <v>98</v>
      </c>
      <c r="N111" s="34"/>
      <c r="O111" s="35">
        <v>5</v>
      </c>
      <c r="P111" s="36">
        <v>159.99130245705584</v>
      </c>
      <c r="Q111" s="36">
        <v>-4.7997390737116747</v>
      </c>
      <c r="R111" s="36">
        <v>155.19156338334417</v>
      </c>
      <c r="T111" s="33" t="s">
        <v>29</v>
      </c>
      <c r="U111" s="23">
        <f t="shared" si="2"/>
        <v>42917</v>
      </c>
      <c r="V111" s="39" t="str">
        <f t="shared" si="3"/>
        <v/>
      </c>
    </row>
    <row r="112" spans="13:22" hidden="1">
      <c r="M112" s="33" t="s">
        <v>98</v>
      </c>
      <c r="N112" s="34"/>
      <c r="O112" s="35">
        <v>3</v>
      </c>
      <c r="P112" s="36">
        <v>180.01304631441616</v>
      </c>
      <c r="Q112" s="36">
        <v>-5.4003913894324844</v>
      </c>
      <c r="R112" s="36">
        <v>174.61265492498367</v>
      </c>
      <c r="T112" s="33" t="s">
        <v>33</v>
      </c>
      <c r="U112" s="23">
        <f t="shared" si="2"/>
        <v>42917</v>
      </c>
      <c r="V112" s="39" t="str">
        <f t="shared" si="3"/>
        <v/>
      </c>
    </row>
    <row r="113" spans="13:22" hidden="1">
      <c r="M113" s="33" t="s">
        <v>98</v>
      </c>
      <c r="N113" s="34"/>
      <c r="O113" s="35">
        <v>12</v>
      </c>
      <c r="P113" s="36">
        <v>720.05218525766441</v>
      </c>
      <c r="Q113" s="36">
        <v>-21.601565557729931</v>
      </c>
      <c r="R113" s="36">
        <v>698.45061969993469</v>
      </c>
      <c r="T113" s="33" t="s">
        <v>101</v>
      </c>
      <c r="U113" s="23">
        <f t="shared" si="2"/>
        <v>42917</v>
      </c>
      <c r="V113" s="39" t="str">
        <f t="shared" si="3"/>
        <v/>
      </c>
    </row>
    <row r="114" spans="13:22" hidden="1">
      <c r="M114" s="33" t="s">
        <v>98</v>
      </c>
      <c r="N114" s="34"/>
      <c r="O114" s="35">
        <v>3</v>
      </c>
      <c r="P114" s="36">
        <v>180.01304631441616</v>
      </c>
      <c r="Q114" s="36">
        <v>-5.4003913894324844</v>
      </c>
      <c r="R114" s="36">
        <v>174.61265492498367</v>
      </c>
      <c r="T114" s="33" t="s">
        <v>102</v>
      </c>
      <c r="U114" s="23">
        <f t="shared" si="2"/>
        <v>42917</v>
      </c>
      <c r="V114" s="39" t="str">
        <f t="shared" si="3"/>
        <v/>
      </c>
    </row>
    <row r="115" spans="13:22" hidden="1">
      <c r="M115" s="33" t="s">
        <v>98</v>
      </c>
      <c r="N115" s="34"/>
      <c r="O115" s="35">
        <v>1</v>
      </c>
      <c r="P115" s="36">
        <v>60.004348771472053</v>
      </c>
      <c r="Q115" s="36">
        <v>-1.8001304631441615</v>
      </c>
      <c r="R115" s="36">
        <v>58.204218308327889</v>
      </c>
      <c r="T115" s="33" t="s">
        <v>103</v>
      </c>
      <c r="U115" s="23">
        <f t="shared" si="2"/>
        <v>42917</v>
      </c>
      <c r="V115" s="39" t="str">
        <f t="shared" si="3"/>
        <v/>
      </c>
    </row>
    <row r="116" spans="13:22" hidden="1">
      <c r="M116" s="33" t="s">
        <v>98</v>
      </c>
      <c r="N116" s="34"/>
      <c r="O116" s="35">
        <v>2</v>
      </c>
      <c r="P116" s="36">
        <v>64.996738421395946</v>
      </c>
      <c r="Q116" s="36">
        <v>-1.9499021526418785</v>
      </c>
      <c r="R116" s="36">
        <v>63.04683626875407</v>
      </c>
      <c r="T116" s="33" t="s">
        <v>104</v>
      </c>
      <c r="U116" s="23">
        <f t="shared" si="2"/>
        <v>42917</v>
      </c>
      <c r="V116" s="39" t="str">
        <f t="shared" si="3"/>
        <v/>
      </c>
    </row>
    <row r="117" spans="13:22" hidden="1">
      <c r="M117" s="33" t="s">
        <v>98</v>
      </c>
      <c r="N117" s="34"/>
      <c r="O117" s="35">
        <v>2</v>
      </c>
      <c r="P117" s="36">
        <v>120.00869754294411</v>
      </c>
      <c r="Q117" s="36">
        <v>-3.6002609262883229</v>
      </c>
      <c r="R117" s="36">
        <v>116.40843661665578</v>
      </c>
      <c r="T117" s="33" t="s">
        <v>105</v>
      </c>
      <c r="U117" s="23">
        <f t="shared" si="2"/>
        <v>42917</v>
      </c>
      <c r="V117" s="39" t="str">
        <f t="shared" si="3"/>
        <v/>
      </c>
    </row>
    <row r="118" spans="13:22" hidden="1">
      <c r="M118" s="33" t="s">
        <v>98</v>
      </c>
      <c r="N118" s="34"/>
      <c r="O118" s="35">
        <v>1</v>
      </c>
      <c r="P118" s="36">
        <v>24.996738421395953</v>
      </c>
      <c r="Q118" s="36">
        <v>-0.74990215264187854</v>
      </c>
      <c r="R118" s="36">
        <v>24.246836268754073</v>
      </c>
      <c r="T118" s="33" t="s">
        <v>106</v>
      </c>
      <c r="U118" s="23">
        <f t="shared" si="2"/>
        <v>42917</v>
      </c>
      <c r="V118" s="39" t="str">
        <f t="shared" si="3"/>
        <v/>
      </c>
    </row>
    <row r="119" spans="13:22" hidden="1">
      <c r="M119" s="33" t="s">
        <v>98</v>
      </c>
      <c r="N119" s="34"/>
      <c r="O119" s="35">
        <v>1</v>
      </c>
      <c r="P119" s="36">
        <v>60.004348771472053</v>
      </c>
      <c r="Q119" s="36">
        <v>-1.8001304631441615</v>
      </c>
      <c r="R119" s="36">
        <v>58.204218308327889</v>
      </c>
      <c r="T119" s="61" t="s">
        <v>107</v>
      </c>
      <c r="U119" s="23">
        <f t="shared" si="2"/>
        <v>42917</v>
      </c>
      <c r="V119" s="39" t="str">
        <f t="shared" si="3"/>
        <v/>
      </c>
    </row>
    <row r="120" spans="13:22" hidden="1">
      <c r="M120" s="33" t="s">
        <v>98</v>
      </c>
      <c r="N120" s="34"/>
      <c r="O120" s="35">
        <v>2</v>
      </c>
      <c r="P120" s="36">
        <v>100.00434877147205</v>
      </c>
      <c r="Q120" s="36">
        <v>-3.0001304631441617</v>
      </c>
      <c r="R120" s="36">
        <v>97.004218308327893</v>
      </c>
      <c r="S120" s="62"/>
      <c r="T120" s="33" t="s">
        <v>37</v>
      </c>
      <c r="U120" s="23">
        <f t="shared" si="2"/>
        <v>42917</v>
      </c>
    </row>
    <row r="121" spans="13:22" hidden="1">
      <c r="M121" s="63"/>
      <c r="N121" s="63"/>
      <c r="O121" s="64"/>
      <c r="P121" s="63"/>
      <c r="Q121" s="63"/>
      <c r="R121" s="63"/>
    </row>
    <row r="122" spans="13:22" ht="18.75">
      <c r="M122" s="44" t="s">
        <v>90</v>
      </c>
      <c r="N122" s="45"/>
      <c r="O122" s="65">
        <f>SUMIF($T$85:$T$121,$M$10,$O$85:$O$121)</f>
        <v>10</v>
      </c>
      <c r="P122" s="66">
        <f>SUMIF($T$85:$T$121,$M$10,$P$85:$P$121)</f>
        <v>430.41848227875619</v>
      </c>
      <c r="Q122" s="46">
        <f>SUMIF($T$85:$T$121,$M$10,$Q$85:$Q$121)</f>
        <v>-12.585554468362686</v>
      </c>
      <c r="R122" s="66">
        <f>SUMIF($T$85:$T$121,$M$10,$R$85:$R$121)</f>
        <v>417.83292781039347</v>
      </c>
      <c r="V122" t="s">
        <v>53</v>
      </c>
    </row>
    <row r="123" spans="13:22">
      <c r="O123" s="67"/>
      <c r="V123" t="s">
        <v>53</v>
      </c>
    </row>
    <row r="124" spans="13:22" ht="18.75">
      <c r="Q124" s="68" t="s">
        <v>108</v>
      </c>
      <c r="R124" s="49">
        <f>R80+R122</f>
        <v>1506.9454278103935</v>
      </c>
      <c r="V124" t="s">
        <v>53</v>
      </c>
    </row>
    <row r="125" spans="13:22" ht="18.75">
      <c r="Q125" s="69"/>
      <c r="R125" s="70"/>
      <c r="V125" t="s">
        <v>53</v>
      </c>
    </row>
    <row r="126" spans="13:22" ht="18.75">
      <c r="Q126" s="26" t="s">
        <v>109</v>
      </c>
      <c r="R126" s="49">
        <f>R124*0.5</f>
        <v>753.47271390519677</v>
      </c>
      <c r="V126" t="s">
        <v>53</v>
      </c>
    </row>
    <row r="127" spans="13:22">
      <c r="Q127" s="68"/>
      <c r="V127" t="s">
        <v>53</v>
      </c>
    </row>
    <row r="128" spans="13:22">
      <c r="M128" s="71"/>
      <c r="N128" s="72"/>
      <c r="O128" s="73" t="s">
        <v>110</v>
      </c>
      <c r="P128" s="73"/>
      <c r="Q128" s="74" t="s">
        <v>8</v>
      </c>
      <c r="R128" s="75">
        <f>R126*5%</f>
        <v>37.67363569525984</v>
      </c>
      <c r="V128" t="s">
        <v>53</v>
      </c>
    </row>
    <row r="129" spans="13:22">
      <c r="M129" s="71"/>
      <c r="N129" s="76"/>
      <c r="O129" s="77" t="s">
        <v>111</v>
      </c>
      <c r="P129" s="77"/>
      <c r="Q129" s="74" t="s">
        <v>9</v>
      </c>
      <c r="R129" s="75">
        <f>R126*9.975%</f>
        <v>75.15890321204337</v>
      </c>
      <c r="V129" t="s">
        <v>53</v>
      </c>
    </row>
    <row r="130" spans="13:22">
      <c r="M130" s="32"/>
      <c r="N130" s="32"/>
      <c r="Q130" s="74"/>
      <c r="V130" t="s">
        <v>53</v>
      </c>
    </row>
    <row r="131" spans="13:22" ht="18.75">
      <c r="Q131" s="74" t="s">
        <v>112</v>
      </c>
      <c r="R131" s="60">
        <f>R126+R128+R129</f>
        <v>866.30525281249993</v>
      </c>
      <c r="V131" t="s">
        <v>53</v>
      </c>
    </row>
    <row r="132" spans="13:22">
      <c r="Q132" s="78"/>
      <c r="V132" t="s">
        <v>53</v>
      </c>
    </row>
  </sheetData>
  <autoFilter ref="M18:V122">
    <filterColumn colId="9">
      <customFilters>
        <customFilter operator="notEqual" val=" "/>
      </customFilters>
    </filterColumn>
  </autoFilter>
  <mergeCells count="3">
    <mergeCell ref="M84:N84"/>
    <mergeCell ref="O128:P128"/>
    <mergeCell ref="O129:P129"/>
  </mergeCells>
  <dataValidations count="2">
    <dataValidation type="list" allowBlank="1" showInputMessage="1" showErrorMessage="1" sqref="M9:O9">
      <formula1>$A$1:$A$43+Nom_Facturation</formula1>
    </dataValidation>
    <dataValidation type="list" allowBlank="1" showInputMessage="1" showErrorMessage="1" sqref="I12:I18 M10 A1:A8">
      <formula1>$A$1:$A$44</formula1>
    </dataValidation>
  </dataValidations>
  <hyperlinks>
    <hyperlink ref="H5" r:id="rId1"/>
  </hyperlinks>
  <pageMargins left="0.43" right="0.31" top="0.41" bottom="0.44" header="0.31496062992125984" footer="0.31496062992125984"/>
  <pageSetup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journaux</vt:lpstr>
      <vt:lpstr>journaux!Zone_d_impression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ngrondin</dc:creator>
  <cp:lastModifiedBy>ngrondin</cp:lastModifiedBy>
  <dcterms:created xsi:type="dcterms:W3CDTF">2017-08-22T19:40:28Z</dcterms:created>
  <dcterms:modified xsi:type="dcterms:W3CDTF">2017-08-22T19:41:09Z</dcterms:modified>
</cp:coreProperties>
</file>